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330" activeTab="2"/>
  </bookViews>
  <sheets>
    <sheet name="Závěrečný účet 2015 městys" sheetId="1" r:id="rId1"/>
    <sheet name="Závěrečný účet 2015 svazek" sheetId="2" r:id="rId2"/>
    <sheet name="Závěrečný účet 2016 svazek" sheetId="3" r:id="rId3"/>
    <sheet name="Závěrečný účet 2016 městys " sheetId="4" r:id="rId4"/>
  </sheets>
  <definedNames>
    <definedName name="_xlnm.Print_Area" localSheetId="0">'Závěrečný účet 2015 městys'!$A$1:$F$308</definedName>
    <definedName name="_xlnm.Print_Area" localSheetId="3">'Závěrečný účet 2016 městys '!$A$1:$F$303</definedName>
  </definedNames>
  <calcPr fullCalcOnLoad="1"/>
</workbook>
</file>

<file path=xl/sharedStrings.xml><?xml version="1.0" encoding="utf-8"?>
<sst xmlns="http://schemas.openxmlformats.org/spreadsheetml/2006/main" count="697" uniqueCount="313">
  <si>
    <t xml:space="preserve">Městys Havlíčkova Borová                  </t>
  </si>
  <si>
    <t>Náměstí 278, Havlíčkova Borová                                                                                            IČ: 00267431</t>
  </si>
  <si>
    <t>Závěrečný účet za rok 2015</t>
  </si>
  <si>
    <t>(§17 zákona č. 250/2000Sb., o rozpočtových pravidlech územních rozpočtů                                                                                      ve znění pozdějších předpisů)</t>
  </si>
  <si>
    <t>I.</t>
  </si>
  <si>
    <t>Údaje o plnění příjmů a výdajů za rok 2015</t>
  </si>
  <si>
    <t>1.</t>
  </si>
  <si>
    <t>Přehled rozpočtového hospodaření v roce 2015</t>
  </si>
  <si>
    <t>2.</t>
  </si>
  <si>
    <t>Daňové příjmy</t>
  </si>
  <si>
    <t>3.</t>
  </si>
  <si>
    <t>Nedaňové příjmy</t>
  </si>
  <si>
    <t>4.</t>
  </si>
  <si>
    <t>Kapitálové příjmy</t>
  </si>
  <si>
    <t>5.</t>
  </si>
  <si>
    <t>Přijaté transfery</t>
  </si>
  <si>
    <t>6.</t>
  </si>
  <si>
    <t>Běžné výdaje</t>
  </si>
  <si>
    <t>7.</t>
  </si>
  <si>
    <t>Kapitálové výdaje</t>
  </si>
  <si>
    <t>8.</t>
  </si>
  <si>
    <t>Financování</t>
  </si>
  <si>
    <t>9.</t>
  </si>
  <si>
    <t>Bankovní účty</t>
  </si>
  <si>
    <t>II.</t>
  </si>
  <si>
    <t>Údaje o hospodaření s majetkem k 31. 12. 2015</t>
  </si>
  <si>
    <t>Stálá aktiva</t>
  </si>
  <si>
    <t>AKTIVA</t>
  </si>
  <si>
    <t>Oběžná aktiva</t>
  </si>
  <si>
    <t>Vlastní kapitál</t>
  </si>
  <si>
    <t>PASIVA</t>
  </si>
  <si>
    <t>Cizí zdroje</t>
  </si>
  <si>
    <t>III.</t>
  </si>
  <si>
    <t>Hospodaření příspěvkové organizace zřízené obcí</t>
  </si>
  <si>
    <t>Základní škola a Mateřská škola Havlíčkova Borová</t>
  </si>
  <si>
    <t>IV.</t>
  </si>
  <si>
    <t>Zpráva o výsledku přezkoumání hospodaření za rok 2015</t>
  </si>
  <si>
    <t>Příloha č. 1</t>
  </si>
  <si>
    <t>I. Údaje o plnění příjmů a výdajů za rok 2015</t>
  </si>
  <si>
    <t>1. PŘEHLED ROZPOČTOVÉHO HOSPODAŘENÍ V ROCE 2015</t>
  </si>
  <si>
    <t>Rozpočet schválený</t>
  </si>
  <si>
    <t>Rozpočet upravený</t>
  </si>
  <si>
    <t>SKUTEČNOST</t>
  </si>
  <si>
    <t>Třída 1</t>
  </si>
  <si>
    <t>Třída 2</t>
  </si>
  <si>
    <t>Třída 3</t>
  </si>
  <si>
    <t>Třída 4</t>
  </si>
  <si>
    <t>Příjmy celkem</t>
  </si>
  <si>
    <t>Třída 5</t>
  </si>
  <si>
    <t>Třída 6</t>
  </si>
  <si>
    <t>Výdaje celkem</t>
  </si>
  <si>
    <t>Třída 8</t>
  </si>
  <si>
    <t>Zm.stavu krátkodob.prost.na BÚ</t>
  </si>
  <si>
    <t>Dlouhodob.přijaté půjč.prostředky</t>
  </si>
  <si>
    <t>Uhraz.splát.dlouhodob.přij.půj</t>
  </si>
  <si>
    <t>Financování celkem</t>
  </si>
  <si>
    <t>2. DAŇOVÉ PŘÍJMY</t>
  </si>
  <si>
    <t>Sdílené daně</t>
  </si>
  <si>
    <t>Daň z příjmu FO ze záv.činnosti</t>
  </si>
  <si>
    <t>Daň z příjmu FO ze sam.výd.čin.</t>
  </si>
  <si>
    <t>Daň z příjmu FO z kapitál.výnosů</t>
  </si>
  <si>
    <t>Daň z příjmu právnických osob</t>
  </si>
  <si>
    <t>Daň z příjmu práv. osob za obec</t>
  </si>
  <si>
    <t>Daň z přidané hodnoty</t>
  </si>
  <si>
    <t>Místní poplatky</t>
  </si>
  <si>
    <t>Odvody za odnětí půdy</t>
  </si>
  <si>
    <t>Popl. Odnětí poz.-funkce lesa</t>
  </si>
  <si>
    <t>Popl.za prov.sys.likvidace kom.odpadu</t>
  </si>
  <si>
    <t>Poplatky ze psů</t>
  </si>
  <si>
    <t>Poplatky z užívání veř.prostranství</t>
  </si>
  <si>
    <t>Poplatky z ubytovací kapacity</t>
  </si>
  <si>
    <t>Ostatní odvody</t>
  </si>
  <si>
    <t>Odvod výtěžku z provozování loterií</t>
  </si>
  <si>
    <t>Odvod z výherních hracích přístrojů</t>
  </si>
  <si>
    <t>Správní poplatky</t>
  </si>
  <si>
    <t>Daň z nemovitostí</t>
  </si>
  <si>
    <t>Daňové příjmy celkem</t>
  </si>
  <si>
    <t>3. NEDAŇOVÉ PŘÍJMY</t>
  </si>
  <si>
    <t>Příjmy z posk.služeb a výrobků</t>
  </si>
  <si>
    <t>Příjmy z prodeje zboží</t>
  </si>
  <si>
    <t>Ostatní příjmy z vlastní činnosti</t>
  </si>
  <si>
    <t>Příjmy z pronájmu pozemků</t>
  </si>
  <si>
    <t>Příjmy z pronájmu ost.nemovitostí</t>
  </si>
  <si>
    <t>Příjmy z úroků</t>
  </si>
  <si>
    <t>Ost.příjmy z fin.vyrovnání předch.let</t>
  </si>
  <si>
    <t>Přijaté nekap.příspěvky a náhrady</t>
  </si>
  <si>
    <t>Příjmy z úhrady výdob.prostor</t>
  </si>
  <si>
    <t>Splátky půjč.pr. od obyvatel-FRB</t>
  </si>
  <si>
    <t>Nedaňové příjmy celkem</t>
  </si>
  <si>
    <t>4. KAPITÁLOVÉ PŘÍJMY</t>
  </si>
  <si>
    <t>Příjmy z prodeje pozemků</t>
  </si>
  <si>
    <t>Kapitálové příjmy celkem</t>
  </si>
  <si>
    <t>5. PŘIJATÉ TRANSFERY</t>
  </si>
  <si>
    <t>Neinv.přij.transfery ze SR - s.d.vztah</t>
  </si>
  <si>
    <t>Ost.neinv.přij.transfery ze SR</t>
  </si>
  <si>
    <t>Dotace Úřad práce - VPP</t>
  </si>
  <si>
    <t>Dotace - hospodaření v lesích</t>
  </si>
  <si>
    <t>Neinv. přijaté transfery od krajů</t>
  </si>
  <si>
    <t>Akceschopnost Jednotky pož. ochrany</t>
  </si>
  <si>
    <t>Podpora zájmových a sport. aktivit dětí</t>
  </si>
  <si>
    <t>Zdravá škola</t>
  </si>
  <si>
    <t>Invest.přijaté transfery z VPS SR</t>
  </si>
  <si>
    <t>Invest.přijaté transfery ze SF</t>
  </si>
  <si>
    <t>Revitalizace zeleně</t>
  </si>
  <si>
    <t>Zateplení úřadu městyse</t>
  </si>
  <si>
    <t>Ostatní inv. přijaté transfery ze SR</t>
  </si>
  <si>
    <t>Investiční přijaté transfery od krajů</t>
  </si>
  <si>
    <t>Přijaté transfery celkem</t>
  </si>
  <si>
    <t>6. BĚŽNÉ VÝDAJE</t>
  </si>
  <si>
    <t>Mzdové výdaje celkem</t>
  </si>
  <si>
    <t>5011,31,32</t>
  </si>
  <si>
    <t>Výdaje na platy, zdr.,soc. poj.</t>
  </si>
  <si>
    <t>Ostatní platby za proved.práci</t>
  </si>
  <si>
    <t>Odměny zastupitelům</t>
  </si>
  <si>
    <t>Provozní výdaje celkem</t>
  </si>
  <si>
    <t>Prádlo, oděv, obuv</t>
  </si>
  <si>
    <t>Knihy, uč.pom., tisk</t>
  </si>
  <si>
    <t>Dr.hm.dl.majetek</t>
  </si>
  <si>
    <t>Nákup zboží</t>
  </si>
  <si>
    <t>Nákup materiálu</t>
  </si>
  <si>
    <t>Plyn</t>
  </si>
  <si>
    <t>Elektrická energie</t>
  </si>
  <si>
    <t>Pohonné hmoty</t>
  </si>
  <si>
    <t>Služby pošt</t>
  </si>
  <si>
    <t>Služby telekomunikací a radiokom.</t>
  </si>
  <si>
    <t>Služby peněžních ústavů</t>
  </si>
  <si>
    <t>Konz., poradenské a právní služby</t>
  </si>
  <si>
    <t>Služby školení a vzdělávání</t>
  </si>
  <si>
    <t>Nákup služeb</t>
  </si>
  <si>
    <t>Opravy a udržování</t>
  </si>
  <si>
    <t>Programové vybavení</t>
  </si>
  <si>
    <t>Cestovné</t>
  </si>
  <si>
    <t>Pohoštění</t>
  </si>
  <si>
    <t>Výdaje na dopravní územní obslužnost</t>
  </si>
  <si>
    <t>Nákup kolků</t>
  </si>
  <si>
    <t>Platby daní a poplatků SR</t>
  </si>
  <si>
    <t>Platby daní a poplatků kraji, obcím</t>
  </si>
  <si>
    <t>Dary obyvatelstvu</t>
  </si>
  <si>
    <t>Neinv.půjč.prostředky obyvatelstvu</t>
  </si>
  <si>
    <t>Neinvestiční transfery</t>
  </si>
  <si>
    <t>Neinvestiční transfery obcím</t>
  </si>
  <si>
    <t>Ost.neinv.transfery VR úz.úr.</t>
  </si>
  <si>
    <t>Běžné výdaje celkem</t>
  </si>
  <si>
    <t xml:space="preserve">    </t>
  </si>
  <si>
    <t>7. KAPITÁLOVÉ VÝDAJE</t>
  </si>
  <si>
    <t>Budovy, haly, stavby</t>
  </si>
  <si>
    <t>Stroje, přístroje, zařízení</t>
  </si>
  <si>
    <t>Pozemky</t>
  </si>
  <si>
    <t>Kapitálové výdaje celkem</t>
  </si>
  <si>
    <t>8. FINANCOVÁNÍ</t>
  </si>
  <si>
    <t>Uhrazené splátky dl. přij.půjč.prostř.</t>
  </si>
  <si>
    <t xml:space="preserve">Operace z peněžních účtů </t>
  </si>
  <si>
    <t>9. BANKOVNÍ ÚČTY</t>
  </si>
  <si>
    <t>Základní běžný účet</t>
  </si>
  <si>
    <t>Běžné účty pen.fondů - FRB</t>
  </si>
  <si>
    <t>Bankovní účty celkem</t>
  </si>
  <si>
    <t>1. STÁLÁ AKTIVA</t>
  </si>
  <si>
    <t>Minulé období</t>
  </si>
  <si>
    <t>Brutto</t>
  </si>
  <si>
    <t>Korekce</t>
  </si>
  <si>
    <t>Netto</t>
  </si>
  <si>
    <t>Dlouhod. nehmotný majetek:</t>
  </si>
  <si>
    <t>018 Drobný dl. nehm. majetek</t>
  </si>
  <si>
    <t>019 Ostatní dl.nehm. majetek</t>
  </si>
  <si>
    <t>041 Nedokončený nehm.maj.</t>
  </si>
  <si>
    <t>Dlouhodobý hmotný majetek:</t>
  </si>
  <si>
    <t>031 Pozemky</t>
  </si>
  <si>
    <t>032 Kulturní předměty</t>
  </si>
  <si>
    <t>021 Stavby</t>
  </si>
  <si>
    <t>022 Samostatné movité věci</t>
  </si>
  <si>
    <t>028 Drobný dl. hmotný majetek</t>
  </si>
  <si>
    <t>029 Ostatní dl. hmotný majetek</t>
  </si>
  <si>
    <t>042 Nedokončený dl.hm.majetek</t>
  </si>
  <si>
    <t>Dlouhodobý finanční majetek:</t>
  </si>
  <si>
    <t>069 Ostatní dl.finanční majetek</t>
  </si>
  <si>
    <t>2. OBĚŽNÁ AKTIVA</t>
  </si>
  <si>
    <t>Zásoby:</t>
  </si>
  <si>
    <t>112 Materiál na skladě</t>
  </si>
  <si>
    <t>Krátkodobé pohledávky:</t>
  </si>
  <si>
    <t>311 Odběratelé</t>
  </si>
  <si>
    <t>315 Jiné pohl. z hlavní činnosti</t>
  </si>
  <si>
    <t>335 Pohledávky za zaměstnanci</t>
  </si>
  <si>
    <t>385 Příjmy příštích období</t>
  </si>
  <si>
    <t>Krátkodobý finanční majetek:</t>
  </si>
  <si>
    <t>Jiné běžné účty</t>
  </si>
  <si>
    <t>Základní běžný účet ÚSC</t>
  </si>
  <si>
    <t>Běžné účty fondů - FRB</t>
  </si>
  <si>
    <t>Ceniny</t>
  </si>
  <si>
    <t>2. VLASTNÍ KAPITÁL</t>
  </si>
  <si>
    <t>Jmění účetní jednotky a upravující položky:</t>
  </si>
  <si>
    <t>401 Jmění účetní jednotky</t>
  </si>
  <si>
    <t>403 Transfery na pořízení dlouhodobého majetku</t>
  </si>
  <si>
    <t>406 Oceňovací rozdíly při změně metody</t>
  </si>
  <si>
    <t>408 Opravy chyb minulých období</t>
  </si>
  <si>
    <t>Fondy účetní jednotky:</t>
  </si>
  <si>
    <r>
      <t xml:space="preserve">419 Ostatní fondy  - </t>
    </r>
    <r>
      <rPr>
        <b/>
        <sz val="11"/>
        <color indexed="8"/>
        <rFont val="Calibri"/>
        <family val="2"/>
      </rPr>
      <t>Fond rozvoje bydlení</t>
    </r>
  </si>
  <si>
    <t xml:space="preserve">Výdajem fondu jsou půjčky poskytnuté občanům dle vyhlášky č. 4/99 ve znění vyhlášky č. 3/2004. </t>
  </si>
  <si>
    <t>Výsledek hospodaření:</t>
  </si>
  <si>
    <t>493 Výsledek hospodaření běžného úč. období</t>
  </si>
  <si>
    <t>432 Výsledek hospodaření předch.úč.období</t>
  </si>
  <si>
    <t>2. CIZÍ ZDROJE</t>
  </si>
  <si>
    <t>Dlouhodobé závazky:</t>
  </si>
  <si>
    <t>Krátkodobé závazky:</t>
  </si>
  <si>
    <t>324 Krátkodobé přijaté zálohy</t>
  </si>
  <si>
    <t>321 Dodavatelé</t>
  </si>
  <si>
    <t>331 Zaměstnanci</t>
  </si>
  <si>
    <t>336 Sociální zabezpečení</t>
  </si>
  <si>
    <t>337 Zdravotní pojištění</t>
  </si>
  <si>
    <t>342 Jiné přímé daně</t>
  </si>
  <si>
    <t>343 Daň z přidané hodnoty</t>
  </si>
  <si>
    <t>374 Kr.přijaté zálohy na transfery</t>
  </si>
  <si>
    <t>383 Výdaje příštích období</t>
  </si>
  <si>
    <t>384 Výnosy příštích období</t>
  </si>
  <si>
    <t xml:space="preserve">Výkaz Rozvaha, Výkaz zisků a ztrát a Příloha účetní závěrky za rok 2014 jsou k nahlédnutí úřadu městyse.                                                 Výkazy a příloha obsahují údaje o stavu a vývoji majetku za běžný rok včetně popisu významných vlivů na změny stavů.
</t>
  </si>
  <si>
    <t xml:space="preserve">III. Hospodaření příspěvkové organizace zřízené obcí </t>
  </si>
  <si>
    <t>Základní škola a Mateřská škola Havlíčkova Borová, IČ: 70985669</t>
  </si>
  <si>
    <t>Náměstí 97, Havlíčkova Borová</t>
  </si>
  <si>
    <t>Hlavní činnost</t>
  </si>
  <si>
    <t>Hosp. činnost</t>
  </si>
  <si>
    <t>Celkem</t>
  </si>
  <si>
    <t>Náklady celkem</t>
  </si>
  <si>
    <t>Výnosy celkem</t>
  </si>
  <si>
    <t>Výsledek hospodaření</t>
  </si>
  <si>
    <t>Fondy účetní jednotky - příspěvkové organizace</t>
  </si>
  <si>
    <t>Fond odměn</t>
  </si>
  <si>
    <t>Fond kulturních a sociálních potřeb</t>
  </si>
  <si>
    <t>Rezervní fond tvořený ze zlepšeného hosp.výsledku</t>
  </si>
  <si>
    <t>Fond reprodukce majetku, investiční fond</t>
  </si>
  <si>
    <t>IV. Zpráva o přezkoumání hospodaření za rok 2015</t>
  </si>
  <si>
    <r>
      <rPr>
        <b/>
        <sz val="11"/>
        <color indexed="8"/>
        <rFont val="Calibri"/>
        <family val="2"/>
      </rPr>
      <t xml:space="preserve">Výsledek přezkoumání: </t>
    </r>
  </si>
  <si>
    <t>Plné znění zprávy o provedeném přezkoumání hospodaření obce za rok 2015 je přílohou č.1 k závěrečnému účtu.</t>
  </si>
  <si>
    <t>Sestavil:</t>
  </si>
  <si>
    <t>Ing. Linda Burianová</t>
  </si>
  <si>
    <t xml:space="preserve">ekonom, správce rozpočtu </t>
  </si>
  <si>
    <t>Schváleno Zastupitelstvem dne:</t>
  </si>
  <si>
    <t>Vyvěšeno:</t>
  </si>
  <si>
    <t>Sejmuto:</t>
  </si>
  <si>
    <t>EU peníze školám (dotace pro ZŠ)</t>
  </si>
  <si>
    <t>Inv.přij.transfery od regionálních rad</t>
  </si>
  <si>
    <t>Pevná paliva</t>
  </si>
  <si>
    <t>Pokyt.neinv.příspěvky, náhrady</t>
  </si>
  <si>
    <t>Nespecifikované rezervy</t>
  </si>
  <si>
    <t>Neinv.transfery zřízeným přísp.org.</t>
  </si>
  <si>
    <t>Neinv.příspěvky zřízeným přísp.org.</t>
  </si>
  <si>
    <t>Ostatní neinv.výdaje jinde neuvedené</t>
  </si>
  <si>
    <t>Stav k 1.1.2015</t>
  </si>
  <si>
    <t>Stav k 31.12.2015</t>
  </si>
  <si>
    <t>II. Údaje o hospodaření s majetkem městyse k 31. 12. 2015</t>
  </si>
  <si>
    <t>Údaje o plnění rozpočtu příjmů, výdajů a o dalších finančních operacích v plném členění podle rozpočtové skladby za rok 2015 jsou k nahlédnutí na úřadu městyse.</t>
  </si>
  <si>
    <t>469 Dlouhodobé pohledávky</t>
  </si>
  <si>
    <t>455 Dlouhodobé přijaté zálohy</t>
  </si>
  <si>
    <t>345 Závazky k osobám mimo vybrané vládní instituce</t>
  </si>
  <si>
    <t>347 Závazky k vybraným ústředním vládním institucím</t>
  </si>
  <si>
    <t>Příjmy z prodeje ostatních nemovitostí</t>
  </si>
  <si>
    <t>Závěrečný účet Svazek obcí                                    Plynofikace obcí Borovsko za rok 2015</t>
  </si>
  <si>
    <t>(§17 zákona č. 250/2000Sb., o rozpočtových pravidlech územních rozpočtů ve znění pozdějších předpisů)</t>
  </si>
  <si>
    <t>Svazek obcí Plynofikace obcí Borovsko:</t>
  </si>
  <si>
    <t xml:space="preserve">Městys Havlíčkova Borová </t>
  </si>
  <si>
    <t>Obec Oudoleň</t>
  </si>
  <si>
    <t>Obec Slavětín</t>
  </si>
  <si>
    <t>Obec Jitkov</t>
  </si>
  <si>
    <t>Plnění k 31.12.2015</t>
  </si>
  <si>
    <t>%RU</t>
  </si>
  <si>
    <t>Údaje o hospodaření s majetkem svazku k 31. 12. 2015</t>
  </si>
  <si>
    <r>
      <t xml:space="preserve">                                                                 </t>
    </r>
    <r>
      <rPr>
        <b/>
        <sz val="11"/>
        <color indexed="8"/>
        <rFont val="Arial"/>
        <family val="2"/>
      </rPr>
      <t xml:space="preserve">         k 31.12.2014</t>
    </r>
  </si>
  <si>
    <t>021 budovy,stavby</t>
  </si>
  <si>
    <t>022 sam.mov.věci</t>
  </si>
  <si>
    <t>028 drobný dlouhod. hmotný majetek</t>
  </si>
  <si>
    <t>PŘÍLOHA ZÁVĚREČNÉHO ÚČTU:</t>
  </si>
  <si>
    <t>Zpráva o přezkoumání hospodaření za rok 2015.</t>
  </si>
  <si>
    <t>účetní svazku</t>
  </si>
  <si>
    <t>Schváleno dne:</t>
  </si>
  <si>
    <t>V Havlíčkově Borové dne 22.4.2016</t>
  </si>
  <si>
    <t>Informační a komunikační technologie</t>
  </si>
  <si>
    <t>Oprava podlah - tělocvična ZŠ  malá</t>
  </si>
  <si>
    <t>Oprava komunikací Železné Horky</t>
  </si>
  <si>
    <t>ROP Jihovýchod půdní vestavba ZŠ</t>
  </si>
  <si>
    <t xml:space="preserve">Výkaz Rozvaha, Výkaz zisků a ztrát a Příloha účetní závěrky příspěvkové organizace za rok 2015 jsou k nahlédnutí na úřadu městyse. Výkazy a příloha obsahují údaje o stavu a vývoji majetku za běžný rok včetně popisu významných vlivů na změny stavů.
</t>
  </si>
  <si>
    <t>Přezkoumání hospodaření za rok 2015 bylo provedeno dne 20. listopadu 2015 jako dílčí a dne 11. dubna 2016 jako konečné přezkoumání na základě žádosti městyse v souladu se zákonem č. 420/2004 Sb., o přezkoumávání hospodaření územních samosprávných celků a dobrovolných svazků obcí. Zpráva o výsledku přezkoumání hospodaření za rok 2015 je přílohou Závěrečného účtu městyse Havlíčkova Borová za rok 2015.</t>
  </si>
  <si>
    <t>Údaje o plnění příjmů a výdajů za rok 2016</t>
  </si>
  <si>
    <t>Plnění k 31.12.2016</t>
  </si>
  <si>
    <t>Údaje o hospodaření s majetkem svazku k 31. 12. 2016</t>
  </si>
  <si>
    <r>
      <t xml:space="preserve">                                                                 </t>
    </r>
    <r>
      <rPr>
        <b/>
        <sz val="11"/>
        <color indexed="8"/>
        <rFont val="Arial"/>
        <family val="2"/>
      </rPr>
      <t xml:space="preserve">         k 31.12.2015</t>
    </r>
  </si>
  <si>
    <t>Zpráva o přezkoumání hospodaření za rok 2016.</t>
  </si>
  <si>
    <t>Magda Hošáková</t>
  </si>
  <si>
    <t>Přehled rozpočtového hospodaření v roce 2016</t>
  </si>
  <si>
    <t>Údaje o hospodaření s majetkem k 31. 12. 2016</t>
  </si>
  <si>
    <t>Zpráva o výsledku přezkoumání hospodaření za rok 2016</t>
  </si>
  <si>
    <t>I. Údaje o plnění příjmů a výdajů za rok 2016</t>
  </si>
  <si>
    <t>1. PŘEHLED ROZPOČTOVÉHO HOSPODAŘENÍ V ROCE 2016</t>
  </si>
  <si>
    <t>Ost. přijaté vratky transferů</t>
  </si>
  <si>
    <t>Přijaté pojistné náhrady</t>
  </si>
  <si>
    <t>Neinv. přijaté transfery z VPS SR</t>
  </si>
  <si>
    <t>Dotace - hasiči</t>
  </si>
  <si>
    <t>Stav k 1.1.2016</t>
  </si>
  <si>
    <t>Stav k 31.12.2016</t>
  </si>
  <si>
    <t>II. Údaje o hospodaření s majetkem městyse k 31. 12. 2016</t>
  </si>
  <si>
    <t>IV. Zpráva o přezkoumání hospodaření za rok 2016</t>
  </si>
  <si>
    <t>Dotace lesy</t>
  </si>
  <si>
    <t xml:space="preserve">Podpora zájmových a sport. aktit </t>
  </si>
  <si>
    <t>škola hrajeme si a hýbeme se</t>
  </si>
  <si>
    <t>Dotace VO 9 RD</t>
  </si>
  <si>
    <t>Povin. Pojistné</t>
  </si>
  <si>
    <t>Neinv. přís. fyzickým osobám</t>
  </si>
  <si>
    <t>vratka trnsferu z min. období</t>
  </si>
  <si>
    <t>Údaje o plnění rozpočtu příjmů, výdajů a o dalších finančních operacích v plném členění podle rozpočtové skladby za rok 2016 jsou k nahlédnutí na úřadu městyse.</t>
  </si>
  <si>
    <t xml:space="preserve">Výkaz Rozvaha, Výkaz zisků a ztrát a Příloha účetní závěrky za rok 2016 jsou k nahlédnutí úřadu městyse.                                                 Výkazy a příloha obsahují údaje o stavu a vývoji majetku za běžný rok včetně popisu významných vlivů na změny stavů.
</t>
  </si>
  <si>
    <t xml:space="preserve">Výkaz Rozvaha, Výkaz zisků a ztrát a Příloha účetní závěrky příspěvkové organizace za rok 2016 jsou k nahlédnutí na úřadu městyse. Výkazy a příloha obsahují údaje o stavu a vývoji majetku za běžný rok včetně popisu významných vlivů na změny stavů.
</t>
  </si>
  <si>
    <t>Přezkoumání hospodaření za rok 2016 bylo provedeno dne 31. srpna 2016 jako dílčí a dne 30. ledna 2017 jako konečné přezkoumání na základě žádosti městyse v souladu se zákonem č. 420/2004 Sb., o přezkoumávání hospodaření územních samosprávných celků a dobrovolných svazků obcí. Zpráva o výsledku přezkoumání hospodaření za rok 2016 je přílohou Závěrečného účtu městyse Havlíčkova Borová za rok 2016.</t>
  </si>
  <si>
    <t>Plné znění zprávy o provedeném přezkoumání hospodaření obce za rok 2016 je přílohou č.1 k závěrečnému účtu.</t>
  </si>
  <si>
    <t>V Havlíčkově Borové dne 28.2.2017</t>
  </si>
  <si>
    <t>Schválený závěrečný účet za rok 2016</t>
  </si>
  <si>
    <t>Schválený závěrečný účet Svazku obcí                                    Plynofikace obcí Borovsko za rok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</si>
</sst>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2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i/>
      <sz val="10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23"/>
      <name val="Calibri"/>
      <family val="2"/>
    </font>
    <font>
      <b/>
      <sz val="12"/>
      <color indexed="23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2"/>
      <color indexed="23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2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 tint="0.49998000264167786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Calibri"/>
      <family val="2"/>
    </font>
    <font>
      <sz val="11"/>
      <color theme="1" tint="0.49998000264167786"/>
      <name val="Calibri"/>
      <family val="2"/>
    </font>
    <font>
      <i/>
      <sz val="12"/>
      <color theme="0" tint="-0.4999699890613556"/>
      <name val="Calibri"/>
      <family val="2"/>
    </font>
    <font>
      <i/>
      <sz val="11"/>
      <color theme="0" tint="-0.4999699890613556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theme="1" tint="0.49998000264167786"/>
      <name val="Calibri"/>
      <family val="2"/>
    </font>
    <font>
      <b/>
      <sz val="12"/>
      <color theme="1" tint="0.49998000264167786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  <font>
      <b/>
      <u val="single"/>
      <sz val="14"/>
      <color theme="1"/>
      <name val="Arial"/>
      <family val="2"/>
    </font>
    <font>
      <b/>
      <u val="single"/>
      <sz val="14"/>
      <color theme="1"/>
      <name val="Times New Roman"/>
      <family val="1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2"/>
      <color theme="0" tint="-0.4999699890613556"/>
      <name val="Calibri"/>
      <family val="2"/>
    </font>
    <font>
      <b/>
      <sz val="2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66" fillId="0" borderId="0" xfId="0" applyFont="1" applyAlignment="1">
      <alignment wrapText="1"/>
    </xf>
    <xf numFmtId="0" fontId="0" fillId="0" borderId="0" xfId="0" applyFont="1" applyAlignment="1">
      <alignment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right" wrapText="1"/>
    </xf>
    <xf numFmtId="0" fontId="69" fillId="0" borderId="0" xfId="0" applyFont="1" applyAlignment="1">
      <alignment/>
    </xf>
    <xf numFmtId="0" fontId="69" fillId="0" borderId="0" xfId="0" applyFont="1" applyAlignment="1">
      <alignment horizontal="left" wrapText="1"/>
    </xf>
    <xf numFmtId="0" fontId="68" fillId="0" borderId="0" xfId="0" applyFont="1" applyAlignment="1">
      <alignment horizontal="left"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right"/>
    </xf>
    <xf numFmtId="0" fontId="68" fillId="34" borderId="10" xfId="0" applyFont="1" applyFill="1" applyBorder="1" applyAlignment="1">
      <alignment horizontal="right"/>
    </xf>
    <xf numFmtId="0" fontId="72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34" borderId="0" xfId="0" applyNumberFormat="1" applyFont="1" applyFill="1" applyAlignment="1">
      <alignment/>
    </xf>
    <xf numFmtId="4" fontId="51" fillId="0" borderId="0" xfId="0" applyNumberFormat="1" applyFont="1" applyAlignment="1">
      <alignment/>
    </xf>
    <xf numFmtId="4" fontId="68" fillId="34" borderId="0" xfId="0" applyNumberFormat="1" applyFont="1" applyFill="1" applyAlignment="1">
      <alignment/>
    </xf>
    <xf numFmtId="0" fontId="69" fillId="34" borderId="0" xfId="0" applyFont="1" applyFill="1" applyAlignment="1">
      <alignment/>
    </xf>
    <xf numFmtId="4" fontId="69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4" fontId="68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51" fillId="0" borderId="0" xfId="0" applyFont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0" fontId="74" fillId="0" borderId="0" xfId="0" applyFont="1" applyAlignment="1">
      <alignment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4" fontId="69" fillId="34" borderId="0" xfId="0" applyNumberFormat="1" applyFont="1" applyFill="1" applyAlignment="1">
      <alignment/>
    </xf>
    <xf numFmtId="0" fontId="68" fillId="0" borderId="10" xfId="0" applyFont="1" applyBorder="1" applyAlignment="1">
      <alignment/>
    </xf>
    <xf numFmtId="0" fontId="68" fillId="0" borderId="11" xfId="0" applyFont="1" applyBorder="1" applyAlignment="1">
      <alignment/>
    </xf>
    <xf numFmtId="4" fontId="51" fillId="0" borderId="11" xfId="0" applyNumberFormat="1" applyFont="1" applyBorder="1" applyAlignment="1">
      <alignment/>
    </xf>
    <xf numFmtId="4" fontId="68" fillId="34" borderId="11" xfId="0" applyNumberFormat="1" applyFont="1" applyFill="1" applyBorder="1" applyAlignment="1">
      <alignment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/>
    </xf>
    <xf numFmtId="0" fontId="5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68" fillId="0" borderId="11" xfId="0" applyNumberFormat="1" applyFont="1" applyFill="1" applyBorder="1" applyAlignment="1">
      <alignment/>
    </xf>
    <xf numFmtId="4" fontId="51" fillId="0" borderId="11" xfId="0" applyNumberFormat="1" applyFont="1" applyFill="1" applyBorder="1" applyAlignment="1">
      <alignment/>
    </xf>
    <xf numFmtId="4" fontId="68" fillId="0" borderId="11" xfId="0" applyNumberFormat="1" applyFont="1" applyBorder="1" applyAlignment="1">
      <alignment/>
    </xf>
    <xf numFmtId="4" fontId="75" fillId="0" borderId="10" xfId="0" applyNumberFormat="1" applyFont="1" applyBorder="1" applyAlignment="1">
      <alignment/>
    </xf>
    <xf numFmtId="0" fontId="69" fillId="0" borderId="0" xfId="0" applyFont="1" applyBorder="1" applyAlignment="1">
      <alignment/>
    </xf>
    <xf numFmtId="4" fontId="75" fillId="0" borderId="0" xfId="0" applyNumberFormat="1" applyFont="1" applyBorder="1" applyAlignment="1">
      <alignment/>
    </xf>
    <xf numFmtId="0" fontId="74" fillId="0" borderId="0" xfId="0" applyFont="1" applyBorder="1" applyAlignment="1">
      <alignment/>
    </xf>
    <xf numFmtId="4" fontId="74" fillId="0" borderId="0" xfId="0" applyNumberFormat="1" applyFont="1" applyBorder="1" applyAlignment="1">
      <alignment/>
    </xf>
    <xf numFmtId="0" fontId="68" fillId="33" borderId="0" xfId="0" applyFont="1" applyFill="1" applyBorder="1" applyAlignment="1">
      <alignment/>
    </xf>
    <xf numFmtId="4" fontId="68" fillId="33" borderId="0" xfId="0" applyNumberFormat="1" applyFont="1" applyFill="1" applyBorder="1" applyAlignment="1">
      <alignment/>
    </xf>
    <xf numFmtId="0" fontId="74" fillId="0" borderId="1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69" fillId="34" borderId="0" xfId="0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4" fontId="51" fillId="0" borderId="0" xfId="0" applyNumberFormat="1" applyFont="1" applyBorder="1" applyAlignment="1">
      <alignment/>
    </xf>
    <xf numFmtId="0" fontId="69" fillId="33" borderId="0" xfId="0" applyFont="1" applyFill="1" applyBorder="1" applyAlignment="1">
      <alignment/>
    </xf>
    <xf numFmtId="4" fontId="69" fillId="33" borderId="0" xfId="0" applyNumberFormat="1" applyFont="1" applyFill="1" applyBorder="1" applyAlignment="1">
      <alignment/>
    </xf>
    <xf numFmtId="4" fontId="74" fillId="0" borderId="0" xfId="0" applyNumberFormat="1" applyFont="1" applyAlignment="1">
      <alignment/>
    </xf>
    <xf numFmtId="0" fontId="76" fillId="0" borderId="0" xfId="0" applyFont="1" applyAlignment="1">
      <alignment horizontal="left"/>
    </xf>
    <xf numFmtId="4" fontId="77" fillId="0" borderId="0" xfId="0" applyNumberFormat="1" applyFont="1" applyAlignment="1">
      <alignment/>
    </xf>
    <xf numFmtId="4" fontId="76" fillId="34" borderId="0" xfId="0" applyNumberFormat="1" applyFont="1" applyFill="1" applyAlignment="1">
      <alignment/>
    </xf>
    <xf numFmtId="0" fontId="78" fillId="0" borderId="0" xfId="0" applyFont="1" applyAlignment="1">
      <alignment/>
    </xf>
    <xf numFmtId="0" fontId="76" fillId="0" borderId="0" xfId="0" applyFont="1" applyAlignment="1">
      <alignment/>
    </xf>
    <xf numFmtId="4" fontId="79" fillId="0" borderId="0" xfId="0" applyNumberFormat="1" applyFont="1" applyAlignment="1">
      <alignment/>
    </xf>
    <xf numFmtId="0" fontId="80" fillId="0" borderId="0" xfId="0" applyFont="1" applyAlignment="1">
      <alignment/>
    </xf>
    <xf numFmtId="4" fontId="81" fillId="0" borderId="0" xfId="0" applyNumberFormat="1" applyFont="1" applyAlignment="1">
      <alignment/>
    </xf>
    <xf numFmtId="4" fontId="80" fillId="34" borderId="0" xfId="0" applyNumberFormat="1" applyFont="1" applyFill="1" applyAlignment="1">
      <alignment/>
    </xf>
    <xf numFmtId="4" fontId="0" fillId="0" borderId="10" xfId="0" applyNumberFormat="1" applyFont="1" applyBorder="1" applyAlignment="1">
      <alignment/>
    </xf>
    <xf numFmtId="0" fontId="68" fillId="0" borderId="10" xfId="0" applyFont="1" applyBorder="1" applyAlignment="1">
      <alignment horizontal="right"/>
    </xf>
    <xf numFmtId="0" fontId="68" fillId="0" borderId="0" xfId="0" applyFont="1" applyBorder="1" applyAlignment="1">
      <alignment/>
    </xf>
    <xf numFmtId="4" fontId="68" fillId="34" borderId="0" xfId="0" applyNumberFormat="1" applyFont="1" applyFill="1" applyBorder="1" applyAlignment="1">
      <alignment/>
    </xf>
    <xf numFmtId="0" fontId="74" fillId="0" borderId="0" xfId="0" applyFont="1" applyAlignment="1">
      <alignment horizontal="center"/>
    </xf>
    <xf numFmtId="4" fontId="69" fillId="0" borderId="0" xfId="0" applyNumberFormat="1" applyFont="1" applyBorder="1" applyAlignment="1">
      <alignment/>
    </xf>
    <xf numFmtId="0" fontId="74" fillId="0" borderId="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4" fontId="69" fillId="0" borderId="10" xfId="0" applyNumberFormat="1" applyFont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51" fillId="0" borderId="11" xfId="0" applyFont="1" applyBorder="1" applyAlignment="1">
      <alignment/>
    </xf>
    <xf numFmtId="4" fontId="82" fillId="0" borderId="11" xfId="0" applyNumberFormat="1" applyFont="1" applyBorder="1" applyAlignment="1">
      <alignment/>
    </xf>
    <xf numFmtId="0" fontId="83" fillId="0" borderId="0" xfId="0" applyFont="1" applyAlignment="1">
      <alignment/>
    </xf>
    <xf numFmtId="4" fontId="68" fillId="33" borderId="0" xfId="0" applyNumberFormat="1" applyFont="1" applyFill="1" applyAlignment="1">
      <alignment/>
    </xf>
    <xf numFmtId="4" fontId="82" fillId="0" borderId="0" xfId="0" applyNumberFormat="1" applyFont="1" applyAlignment="1">
      <alignment/>
    </xf>
    <xf numFmtId="4" fontId="68" fillId="0" borderId="0" xfId="0" applyNumberFormat="1" applyFont="1" applyBorder="1" applyAlignment="1">
      <alignment/>
    </xf>
    <xf numFmtId="0" fontId="51" fillId="33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4" fontId="68" fillId="0" borderId="0" xfId="0" applyNumberFormat="1" applyFont="1" applyFill="1" applyBorder="1" applyAlignment="1">
      <alignment/>
    </xf>
    <xf numFmtId="4" fontId="51" fillId="0" borderId="0" xfId="0" applyNumberFormat="1" applyFont="1" applyFill="1" applyBorder="1" applyAlignment="1">
      <alignment horizontal="right"/>
    </xf>
    <xf numFmtId="0" fontId="69" fillId="0" borderId="0" xfId="0" applyFont="1" applyFill="1" applyAlignment="1">
      <alignment/>
    </xf>
    <xf numFmtId="4" fontId="68" fillId="34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70" fillId="0" borderId="10" xfId="0" applyFont="1" applyBorder="1" applyAlignment="1">
      <alignment/>
    </xf>
    <xf numFmtId="0" fontId="34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49" fontId="51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4" fontId="79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" fontId="35" fillId="33" borderId="0" xfId="0" applyNumberFormat="1" applyFont="1" applyFill="1" applyAlignment="1">
      <alignment/>
    </xf>
    <xf numFmtId="0" fontId="84" fillId="0" borderId="10" xfId="0" applyFont="1" applyBorder="1" applyAlignment="1">
      <alignment horizontal="right"/>
    </xf>
    <xf numFmtId="0" fontId="5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5" fillId="0" borderId="0" xfId="0" applyFont="1" applyBorder="1" applyAlignment="1">
      <alignment horizontal="left"/>
    </xf>
    <xf numFmtId="4" fontId="34" fillId="0" borderId="0" xfId="0" applyNumberFormat="1" applyFont="1" applyBorder="1" applyAlignment="1">
      <alignment horizontal="right"/>
    </xf>
    <xf numFmtId="0" fontId="68" fillId="0" borderId="0" xfId="0" applyFont="1" applyBorder="1" applyAlignment="1">
      <alignment horizontal="left"/>
    </xf>
    <xf numFmtId="4" fontId="68" fillId="0" borderId="0" xfId="0" applyNumberFormat="1" applyFont="1" applyBorder="1" applyAlignment="1">
      <alignment horizontal="right"/>
    </xf>
    <xf numFmtId="49" fontId="86" fillId="0" borderId="0" xfId="0" applyNumberFormat="1" applyFont="1" applyAlignment="1">
      <alignment horizontal="left" wrapText="1"/>
    </xf>
    <xf numFmtId="49" fontId="86" fillId="0" borderId="10" xfId="0" applyNumberFormat="1" applyFont="1" applyBorder="1" applyAlignment="1">
      <alignment horizontal="left" wrapText="1"/>
    </xf>
    <xf numFmtId="4" fontId="84" fillId="0" borderId="0" xfId="0" applyNumberFormat="1" applyFont="1" applyAlignment="1">
      <alignment/>
    </xf>
    <xf numFmtId="4" fontId="74" fillId="33" borderId="0" xfId="0" applyNumberFormat="1" applyFont="1" applyFill="1" applyAlignment="1">
      <alignment/>
    </xf>
    <xf numFmtId="0" fontId="7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4" fillId="0" borderId="10" xfId="0" applyFont="1" applyFill="1" applyBorder="1" applyAlignment="1">
      <alignment horizontal="right"/>
    </xf>
    <xf numFmtId="0" fontId="34" fillId="0" borderId="10" xfId="0" applyFont="1" applyFill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87" fillId="0" borderId="0" xfId="0" applyFont="1" applyAlignment="1">
      <alignment/>
    </xf>
    <xf numFmtId="4" fontId="73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4" fontId="74" fillId="0" borderId="10" xfId="0" applyNumberFormat="1" applyFont="1" applyBorder="1" applyAlignment="1">
      <alignment/>
    </xf>
    <xf numFmtId="4" fontId="69" fillId="34" borderId="10" xfId="0" applyNumberFormat="1" applyFont="1" applyFill="1" applyBorder="1" applyAlignment="1">
      <alignment/>
    </xf>
    <xf numFmtId="4" fontId="73" fillId="0" borderId="10" xfId="0" applyNumberFormat="1" applyFont="1" applyBorder="1" applyAlignment="1">
      <alignment/>
    </xf>
    <xf numFmtId="4" fontId="68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4" fillId="0" borderId="0" xfId="0" applyFont="1" applyAlignment="1">
      <alignment wrapText="1"/>
    </xf>
    <xf numFmtId="0" fontId="0" fillId="0" borderId="12" xfId="0" applyFont="1" applyBorder="1" applyAlignment="1">
      <alignment/>
    </xf>
    <xf numFmtId="4" fontId="88" fillId="0" borderId="0" xfId="0" applyNumberFormat="1" applyFont="1" applyAlignment="1">
      <alignment/>
    </xf>
    <xf numFmtId="4" fontId="78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4" fontId="69" fillId="0" borderId="0" xfId="0" applyNumberFormat="1" applyFont="1" applyFill="1" applyAlignment="1">
      <alignment/>
    </xf>
    <xf numFmtId="4" fontId="69" fillId="0" borderId="0" xfId="0" applyNumberFormat="1" applyFont="1" applyAlignment="1">
      <alignment horizontal="left"/>
    </xf>
    <xf numFmtId="4" fontId="74" fillId="0" borderId="0" xfId="0" applyNumberFormat="1" applyFont="1" applyAlignment="1">
      <alignment wrapText="1"/>
    </xf>
    <xf numFmtId="0" fontId="69" fillId="0" borderId="11" xfId="0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 horizont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left" wrapText="1"/>
    </xf>
    <xf numFmtId="0" fontId="90" fillId="0" borderId="0" xfId="0" applyFont="1" applyAlignment="1">
      <alignment/>
    </xf>
    <xf numFmtId="0" fontId="8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89" fillId="0" borderId="10" xfId="0" applyFont="1" applyBorder="1" applyAlignment="1">
      <alignment horizontal="right"/>
    </xf>
    <xf numFmtId="4" fontId="89" fillId="0" borderId="0" xfId="0" applyNumberFormat="1" applyFont="1" applyAlignment="1">
      <alignment/>
    </xf>
    <xf numFmtId="2" fontId="89" fillId="0" borderId="0" xfId="0" applyNumberFormat="1" applyFont="1" applyAlignment="1">
      <alignment/>
    </xf>
    <xf numFmtId="4" fontId="94" fillId="0" borderId="0" xfId="0" applyNumberFormat="1" applyFont="1" applyAlignment="1">
      <alignment/>
    </xf>
    <xf numFmtId="0" fontId="94" fillId="0" borderId="0" xfId="0" applyFont="1" applyAlignment="1">
      <alignment horizontal="left" wrapText="1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4" fillId="0" borderId="0" xfId="0" applyFont="1" applyAlignment="1">
      <alignment/>
    </xf>
    <xf numFmtId="0" fontId="94" fillId="0" borderId="0" xfId="0" applyFont="1" applyAlignment="1">
      <alignment horizontal="right"/>
    </xf>
    <xf numFmtId="4" fontId="94" fillId="0" borderId="0" xfId="0" applyNumberFormat="1" applyFont="1" applyAlignment="1">
      <alignment horizontal="right"/>
    </xf>
    <xf numFmtId="4" fontId="89" fillId="0" borderId="0" xfId="0" applyNumberFormat="1" applyFont="1" applyAlignment="1">
      <alignment/>
    </xf>
    <xf numFmtId="4" fontId="89" fillId="0" borderId="0" xfId="0" applyNumberFormat="1" applyFont="1" applyAlignment="1">
      <alignment horizontal="right"/>
    </xf>
    <xf numFmtId="4" fontId="91" fillId="0" borderId="0" xfId="0" applyNumberFormat="1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/>
    </xf>
    <xf numFmtId="0" fontId="96" fillId="0" borderId="0" xfId="0" applyFont="1" applyAlignment="1">
      <alignment/>
    </xf>
    <xf numFmtId="4" fontId="97" fillId="0" borderId="0" xfId="0" applyNumberFormat="1" applyFont="1" applyAlignment="1">
      <alignment/>
    </xf>
    <xf numFmtId="4" fontId="81" fillId="0" borderId="10" xfId="0" applyNumberFormat="1" applyFont="1" applyBorder="1" applyAlignment="1">
      <alignment/>
    </xf>
    <xf numFmtId="4" fontId="98" fillId="0" borderId="11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76" fillId="0" borderId="0" xfId="0" applyFont="1" applyAlignment="1">
      <alignment horizontal="left"/>
    </xf>
    <xf numFmtId="0" fontId="69" fillId="0" borderId="0" xfId="0" applyFont="1" applyAlignment="1">
      <alignment horizontal="left" wrapText="1"/>
    </xf>
    <xf numFmtId="0" fontId="68" fillId="0" borderId="0" xfId="0" applyFont="1" applyAlignment="1">
      <alignment horizontal="left" wrapText="1"/>
    </xf>
    <xf numFmtId="0" fontId="67" fillId="0" borderId="0" xfId="0" applyFont="1" applyAlignment="1">
      <alignment horizontal="center" wrapText="1"/>
    </xf>
    <xf numFmtId="0" fontId="91" fillId="0" borderId="0" xfId="0" applyFont="1" applyAlignment="1">
      <alignment horizontal="left" wrapText="1"/>
    </xf>
    <xf numFmtId="0" fontId="94" fillId="0" borderId="0" xfId="0" applyFont="1" applyAlignment="1">
      <alignment horizontal="left" wrapText="1"/>
    </xf>
    <xf numFmtId="4" fontId="89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89" fillId="0" borderId="0" xfId="0" applyFont="1" applyAlignment="1">
      <alignment horizontal="center"/>
    </xf>
    <xf numFmtId="0" fontId="73" fillId="0" borderId="0" xfId="0" applyFont="1" applyBorder="1" applyAlignment="1">
      <alignment horizontal="right"/>
    </xf>
    <xf numFmtId="2" fontId="51" fillId="0" borderId="0" xfId="0" applyNumberFormat="1" applyFont="1" applyBorder="1" applyAlignment="1">
      <alignment/>
    </xf>
    <xf numFmtId="2" fontId="68" fillId="34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74" fillId="0" borderId="0" xfId="0" applyFont="1" applyBorder="1" applyAlignment="1">
      <alignment horizontal="left" wrapText="1"/>
    </xf>
    <xf numFmtId="0" fontId="74" fillId="0" borderId="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74" fillId="0" borderId="0" xfId="0" applyFont="1" applyAlignment="1">
      <alignment horizontal="left" wrapText="1"/>
    </xf>
    <xf numFmtId="0" fontId="69" fillId="0" borderId="10" xfId="0" applyFont="1" applyBorder="1" applyAlignment="1">
      <alignment horizontal="left" wrapText="1"/>
    </xf>
    <xf numFmtId="49" fontId="74" fillId="0" borderId="0" xfId="0" applyNumberFormat="1" applyFont="1" applyAlignment="1">
      <alignment horizontal="left" wrapText="1"/>
    </xf>
    <xf numFmtId="0" fontId="76" fillId="0" borderId="0" xfId="0" applyFont="1" applyAlignment="1">
      <alignment horizontal="left"/>
    </xf>
    <xf numFmtId="0" fontId="69" fillId="0" borderId="11" xfId="0" applyFont="1" applyBorder="1" applyAlignment="1">
      <alignment horizontal="left" wrapText="1"/>
    </xf>
    <xf numFmtId="0" fontId="69" fillId="0" borderId="0" xfId="0" applyFont="1" applyAlignment="1">
      <alignment horizontal="left" wrapText="1"/>
    </xf>
    <xf numFmtId="0" fontId="68" fillId="0" borderId="0" xfId="0" applyFont="1" applyAlignment="1">
      <alignment horizontal="left" wrapText="1"/>
    </xf>
    <xf numFmtId="0" fontId="79" fillId="0" borderId="0" xfId="0" applyFont="1" applyAlignment="1">
      <alignment horizontal="center" vertical="center" wrapText="1"/>
    </xf>
    <xf numFmtId="0" fontId="99" fillId="0" borderId="0" xfId="0" applyFont="1" applyAlignment="1">
      <alignment horizontal="center" wrapText="1"/>
    </xf>
    <xf numFmtId="0" fontId="100" fillId="0" borderId="0" xfId="0" applyFont="1" applyAlignment="1">
      <alignment horizontal="center" vertical="top" wrapText="1"/>
    </xf>
    <xf numFmtId="0" fontId="6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" fontId="91" fillId="0" borderId="0" xfId="0" applyNumberFormat="1" applyFont="1" applyAlignment="1">
      <alignment horizontal="right"/>
    </xf>
    <xf numFmtId="0" fontId="101" fillId="0" borderId="0" xfId="0" applyFont="1" applyAlignment="1">
      <alignment horizontal="center" wrapText="1"/>
    </xf>
    <xf numFmtId="0" fontId="91" fillId="0" borderId="0" xfId="0" applyFont="1" applyAlignment="1">
      <alignment horizontal="left" wrapText="1"/>
    </xf>
    <xf numFmtId="0" fontId="94" fillId="0" borderId="0" xfId="0" applyFont="1" applyAlignment="1">
      <alignment horizontal="left" wrapText="1"/>
    </xf>
    <xf numFmtId="0" fontId="89" fillId="0" borderId="0" xfId="0" applyFont="1" applyAlignment="1">
      <alignment horizontal="right"/>
    </xf>
    <xf numFmtId="4" fontId="89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94" fillId="0" borderId="0" xfId="0" applyFont="1" applyAlignment="1">
      <alignment horizontal="center"/>
    </xf>
    <xf numFmtId="0" fontId="8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847725</xdr:colOff>
      <xdr:row>1</xdr:row>
      <xdr:rowOff>371475</xdr:rowOff>
    </xdr:to>
    <xdr:pic>
      <xdr:nvPicPr>
        <xdr:cNvPr id="1" name="Picture 2" descr="http://www.havlickovaborova.cz/media/images/znak_havl_borov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847725</xdr:colOff>
      <xdr:row>1</xdr:row>
      <xdr:rowOff>371475</xdr:rowOff>
    </xdr:to>
    <xdr:pic>
      <xdr:nvPicPr>
        <xdr:cNvPr id="1" name="Picture 2" descr="http://www.havlickovaborova.cz/media/images/znak_havl_borov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K306"/>
  <sheetViews>
    <sheetView zoomScalePageLayoutView="0" workbookViewId="0" topLeftCell="A229">
      <selection activeCell="F256" sqref="F256"/>
    </sheetView>
  </sheetViews>
  <sheetFormatPr defaultColWidth="9.140625" defaultRowHeight="15"/>
  <cols>
    <col min="1" max="1" width="9.8515625" style="2" customWidth="1"/>
    <col min="2" max="2" width="20.57421875" style="2" customWidth="1"/>
    <col min="3" max="3" width="15.8515625" style="2" customWidth="1"/>
    <col min="4" max="6" width="16.7109375" style="2" customWidth="1"/>
    <col min="7" max="7" width="13.8515625" style="2" bestFit="1" customWidth="1"/>
    <col min="8" max="8" width="11.28125" style="2" bestFit="1" customWidth="1"/>
    <col min="9" max="9" width="9.140625" style="2" customWidth="1"/>
    <col min="10" max="10" width="12.140625" style="20" customWidth="1"/>
    <col min="11" max="14" width="9.140625" style="2" customWidth="1"/>
    <col min="15" max="15" width="7.7109375" style="2" customWidth="1"/>
    <col min="16" max="16384" width="9.140625" style="2" customWidth="1"/>
  </cols>
  <sheetData>
    <row r="1" spans="1:6" ht="46.5" customHeight="1">
      <c r="A1" s="1"/>
      <c r="B1" s="204" t="s">
        <v>0</v>
      </c>
      <c r="C1" s="204"/>
      <c r="D1" s="204"/>
      <c r="E1" s="204"/>
      <c r="F1" s="204"/>
    </row>
    <row r="2" spans="1:6" ht="101.25" customHeight="1">
      <c r="A2" s="1"/>
      <c r="B2" s="205" t="s">
        <v>1</v>
      </c>
      <c r="C2" s="205"/>
      <c r="D2" s="205"/>
      <c r="E2" s="205"/>
      <c r="F2" s="205"/>
    </row>
    <row r="3" spans="1:6" ht="46.5" customHeight="1">
      <c r="A3" s="206" t="s">
        <v>2</v>
      </c>
      <c r="B3" s="206"/>
      <c r="C3" s="206"/>
      <c r="D3" s="206"/>
      <c r="E3" s="206"/>
      <c r="F3" s="206"/>
    </row>
    <row r="4" spans="1:6" ht="21" customHeight="1">
      <c r="A4" s="207" t="s">
        <v>3</v>
      </c>
      <c r="B4" s="207"/>
      <c r="C4" s="207"/>
      <c r="D4" s="207"/>
      <c r="E4" s="207"/>
      <c r="F4" s="207"/>
    </row>
    <row r="5" spans="1:6" ht="21" customHeight="1">
      <c r="A5" s="207"/>
      <c r="B5" s="207"/>
      <c r="C5" s="207"/>
      <c r="D5" s="207"/>
      <c r="E5" s="207"/>
      <c r="F5" s="207"/>
    </row>
    <row r="6" spans="1:5" ht="81.75" customHeight="1">
      <c r="A6" s="3"/>
      <c r="B6" s="3"/>
      <c r="C6" s="3"/>
      <c r="D6" s="3"/>
      <c r="E6" s="3"/>
    </row>
    <row r="7" spans="1:10" s="5" customFormat="1" ht="19.5" customHeight="1">
      <c r="A7" s="4" t="s">
        <v>4</v>
      </c>
      <c r="B7" s="202" t="s">
        <v>5</v>
      </c>
      <c r="C7" s="202"/>
      <c r="D7" s="202"/>
      <c r="E7" s="202"/>
      <c r="J7" s="25"/>
    </row>
    <row r="8" spans="1:10" s="8" customFormat="1" ht="15" customHeight="1">
      <c r="A8" s="6"/>
      <c r="B8" s="7" t="s">
        <v>6</v>
      </c>
      <c r="C8" s="201" t="s">
        <v>7</v>
      </c>
      <c r="D8" s="201"/>
      <c r="E8" s="201"/>
      <c r="F8" s="201"/>
      <c r="J8" s="25"/>
    </row>
    <row r="9" spans="1:10" s="8" customFormat="1" ht="15" customHeight="1">
      <c r="A9" s="6"/>
      <c r="B9" s="7" t="s">
        <v>8</v>
      </c>
      <c r="C9" s="201" t="s">
        <v>9</v>
      </c>
      <c r="D9" s="201"/>
      <c r="E9" s="201"/>
      <c r="F9" s="201"/>
      <c r="J9" s="25"/>
    </row>
    <row r="10" spans="1:10" s="8" customFormat="1" ht="15" customHeight="1">
      <c r="A10" s="6"/>
      <c r="B10" s="7" t="s">
        <v>10</v>
      </c>
      <c r="C10" s="201" t="s">
        <v>11</v>
      </c>
      <c r="D10" s="201"/>
      <c r="E10" s="201"/>
      <c r="F10" s="201"/>
      <c r="J10" s="25"/>
    </row>
    <row r="11" spans="1:10" s="8" customFormat="1" ht="15" customHeight="1">
      <c r="A11" s="6"/>
      <c r="B11" s="7" t="s">
        <v>12</v>
      </c>
      <c r="C11" s="201" t="s">
        <v>13</v>
      </c>
      <c r="D11" s="201"/>
      <c r="E11" s="201"/>
      <c r="F11" s="201"/>
      <c r="J11" s="25"/>
    </row>
    <row r="12" spans="1:10" s="8" customFormat="1" ht="15" customHeight="1">
      <c r="A12" s="6"/>
      <c r="B12" s="7" t="s">
        <v>14</v>
      </c>
      <c r="C12" s="201" t="s">
        <v>15</v>
      </c>
      <c r="D12" s="201"/>
      <c r="E12" s="201"/>
      <c r="F12" s="201"/>
      <c r="J12" s="25"/>
    </row>
    <row r="13" spans="1:10" s="8" customFormat="1" ht="15" customHeight="1">
      <c r="A13" s="6"/>
      <c r="B13" s="7" t="s">
        <v>16</v>
      </c>
      <c r="C13" s="201" t="s">
        <v>17</v>
      </c>
      <c r="D13" s="201"/>
      <c r="E13" s="201"/>
      <c r="F13" s="201"/>
      <c r="J13" s="25"/>
    </row>
    <row r="14" spans="1:10" s="8" customFormat="1" ht="15" customHeight="1">
      <c r="A14" s="6"/>
      <c r="B14" s="7" t="s">
        <v>18</v>
      </c>
      <c r="C14" s="201" t="s">
        <v>19</v>
      </c>
      <c r="D14" s="201"/>
      <c r="E14" s="9"/>
      <c r="F14" s="9"/>
      <c r="J14" s="25"/>
    </row>
    <row r="15" spans="1:10" s="8" customFormat="1" ht="15" customHeight="1">
      <c r="A15" s="6"/>
      <c r="B15" s="7" t="s">
        <v>20</v>
      </c>
      <c r="C15" s="201" t="s">
        <v>21</v>
      </c>
      <c r="D15" s="201"/>
      <c r="E15" s="201"/>
      <c r="F15" s="201"/>
      <c r="J15" s="25"/>
    </row>
    <row r="16" spans="1:10" s="8" customFormat="1" ht="15" customHeight="1">
      <c r="A16" s="6"/>
      <c r="B16" s="7" t="s">
        <v>22</v>
      </c>
      <c r="C16" s="9" t="s">
        <v>23</v>
      </c>
      <c r="D16" s="9"/>
      <c r="E16" s="9"/>
      <c r="F16" s="9"/>
      <c r="J16" s="25"/>
    </row>
    <row r="17" spans="1:10" s="8" customFormat="1" ht="15" customHeight="1">
      <c r="A17" s="6"/>
      <c r="B17" s="7"/>
      <c r="C17" s="9"/>
      <c r="D17" s="9"/>
      <c r="E17" s="9"/>
      <c r="F17" s="9"/>
      <c r="J17" s="25"/>
    </row>
    <row r="18" spans="1:10" s="8" customFormat="1" ht="19.5" customHeight="1">
      <c r="A18" s="4" t="s">
        <v>24</v>
      </c>
      <c r="B18" s="202" t="s">
        <v>25</v>
      </c>
      <c r="C18" s="202"/>
      <c r="D18" s="202"/>
      <c r="E18" s="202"/>
      <c r="J18" s="25"/>
    </row>
    <row r="19" spans="1:10" s="8" customFormat="1" ht="15" customHeight="1">
      <c r="A19" s="4"/>
      <c r="B19" s="7" t="s">
        <v>6</v>
      </c>
      <c r="C19" s="9" t="s">
        <v>26</v>
      </c>
      <c r="D19" s="203" t="s">
        <v>27</v>
      </c>
      <c r="E19" s="10"/>
      <c r="J19" s="25"/>
    </row>
    <row r="20" spans="1:10" s="8" customFormat="1" ht="15" customHeight="1">
      <c r="A20" s="4"/>
      <c r="B20" s="7" t="s">
        <v>8</v>
      </c>
      <c r="C20" s="9" t="s">
        <v>28</v>
      </c>
      <c r="D20" s="203"/>
      <c r="E20" s="10"/>
      <c r="J20" s="25"/>
    </row>
    <row r="21" spans="1:10" s="8" customFormat="1" ht="15" customHeight="1">
      <c r="A21" s="4"/>
      <c r="B21" s="7" t="s">
        <v>10</v>
      </c>
      <c r="C21" s="9" t="s">
        <v>29</v>
      </c>
      <c r="D21" s="203" t="s">
        <v>30</v>
      </c>
      <c r="E21" s="10"/>
      <c r="J21" s="25"/>
    </row>
    <row r="22" spans="1:10" s="8" customFormat="1" ht="15" customHeight="1">
      <c r="A22" s="4"/>
      <c r="B22" s="7" t="s">
        <v>12</v>
      </c>
      <c r="C22" s="9" t="s">
        <v>31</v>
      </c>
      <c r="D22" s="203"/>
      <c r="E22" s="10"/>
      <c r="J22" s="25"/>
    </row>
    <row r="23" spans="1:10" s="8" customFormat="1" ht="19.5" customHeight="1">
      <c r="A23" s="4"/>
      <c r="B23" s="10"/>
      <c r="C23" s="10"/>
      <c r="D23" s="10"/>
      <c r="E23" s="10"/>
      <c r="J23" s="25"/>
    </row>
    <row r="24" spans="1:10" s="8" customFormat="1" ht="19.5" customHeight="1">
      <c r="A24" s="4" t="s">
        <v>32</v>
      </c>
      <c r="B24" s="202" t="s">
        <v>33</v>
      </c>
      <c r="C24" s="202"/>
      <c r="D24" s="202"/>
      <c r="E24" s="202"/>
      <c r="J24" s="25"/>
    </row>
    <row r="25" spans="1:10" s="8" customFormat="1" ht="15" customHeight="1">
      <c r="A25" s="4"/>
      <c r="B25" s="7" t="s">
        <v>6</v>
      </c>
      <c r="C25" s="201" t="s">
        <v>34</v>
      </c>
      <c r="D25" s="201"/>
      <c r="E25" s="201"/>
      <c r="F25" s="201"/>
      <c r="J25" s="25"/>
    </row>
    <row r="26" spans="1:10" s="8" customFormat="1" ht="19.5" customHeight="1">
      <c r="A26" s="4"/>
      <c r="B26" s="10"/>
      <c r="C26" s="10"/>
      <c r="D26" s="10"/>
      <c r="E26" s="10"/>
      <c r="J26" s="25"/>
    </row>
    <row r="27" spans="1:10" s="8" customFormat="1" ht="19.5" customHeight="1">
      <c r="A27" s="4"/>
      <c r="B27" s="10"/>
      <c r="C27" s="10"/>
      <c r="D27" s="10"/>
      <c r="E27" s="10"/>
      <c r="J27" s="25"/>
    </row>
    <row r="28" spans="1:10" s="8" customFormat="1" ht="19.5" customHeight="1">
      <c r="A28" s="4" t="s">
        <v>35</v>
      </c>
      <c r="B28" s="202" t="s">
        <v>36</v>
      </c>
      <c r="C28" s="202"/>
      <c r="D28" s="202"/>
      <c r="E28" s="202"/>
      <c r="J28" s="25"/>
    </row>
    <row r="29" spans="1:10" s="8" customFormat="1" ht="19.5" customHeight="1">
      <c r="A29" s="4"/>
      <c r="B29" s="10"/>
      <c r="C29" s="9" t="s">
        <v>37</v>
      </c>
      <c r="D29" s="10"/>
      <c r="E29" s="10"/>
      <c r="J29" s="25"/>
    </row>
    <row r="30" spans="1:10" s="8" customFormat="1" ht="19.5" customHeight="1">
      <c r="A30" s="4"/>
      <c r="B30" s="10"/>
      <c r="C30" s="10"/>
      <c r="D30" s="10"/>
      <c r="E30" s="10"/>
      <c r="J30" s="25"/>
    </row>
    <row r="31" spans="1:10" s="8" customFormat="1" ht="19.5" customHeight="1">
      <c r="A31" s="4"/>
      <c r="B31" s="10"/>
      <c r="C31" s="10"/>
      <c r="D31" s="10"/>
      <c r="E31" s="10"/>
      <c r="J31" s="25"/>
    </row>
    <row r="32" spans="1:11" ht="18.75">
      <c r="A32" s="11" t="s">
        <v>38</v>
      </c>
      <c r="K32" s="12"/>
    </row>
    <row r="33" ht="12" customHeight="1">
      <c r="A33" s="11"/>
    </row>
    <row r="34" spans="1:10" s="8" customFormat="1" ht="18" customHeight="1">
      <c r="A34" s="13" t="s">
        <v>39</v>
      </c>
      <c r="B34" s="14"/>
      <c r="C34" s="14"/>
      <c r="D34" s="14"/>
      <c r="E34" s="14"/>
      <c r="F34" s="14"/>
      <c r="J34" s="25"/>
    </row>
    <row r="35" ht="12" customHeight="1">
      <c r="A35" s="11"/>
    </row>
    <row r="36" spans="1:10" s="19" customFormat="1" ht="15.75">
      <c r="A36" s="15"/>
      <c r="B36" s="15"/>
      <c r="C36" s="15"/>
      <c r="D36" s="16" t="s">
        <v>40</v>
      </c>
      <c r="E36" s="17" t="s">
        <v>41</v>
      </c>
      <c r="F36" s="18" t="s">
        <v>42</v>
      </c>
      <c r="J36" s="135"/>
    </row>
    <row r="37" spans="1:10" s="8" customFormat="1" ht="15.75">
      <c r="A37" s="8" t="s">
        <v>43</v>
      </c>
      <c r="B37" s="8" t="s">
        <v>9</v>
      </c>
      <c r="D37" s="20">
        <v>10340000</v>
      </c>
      <c r="E37" s="20">
        <v>12723649.94</v>
      </c>
      <c r="F37" s="21">
        <v>12723649.94</v>
      </c>
      <c r="J37" s="25"/>
    </row>
    <row r="38" spans="1:10" s="8" customFormat="1" ht="15.75">
      <c r="A38" s="8" t="s">
        <v>44</v>
      </c>
      <c r="B38" s="8" t="s">
        <v>11</v>
      </c>
      <c r="D38" s="20">
        <v>5134600</v>
      </c>
      <c r="E38" s="20">
        <v>5844141.5</v>
      </c>
      <c r="F38" s="21">
        <v>5844142.4</v>
      </c>
      <c r="J38" s="25"/>
    </row>
    <row r="39" spans="1:10" s="8" customFormat="1" ht="15.75">
      <c r="A39" s="8" t="s">
        <v>45</v>
      </c>
      <c r="B39" s="8" t="s">
        <v>13</v>
      </c>
      <c r="D39" s="20">
        <v>100000</v>
      </c>
      <c r="E39" s="20">
        <v>458110</v>
      </c>
      <c r="F39" s="21">
        <v>458110</v>
      </c>
      <c r="J39" s="25"/>
    </row>
    <row r="40" spans="1:10" s="8" customFormat="1" ht="15.75">
      <c r="A40" s="8" t="s">
        <v>46</v>
      </c>
      <c r="B40" s="8" t="s">
        <v>15</v>
      </c>
      <c r="D40" s="20">
        <v>376700</v>
      </c>
      <c r="E40" s="20">
        <v>6161373.74</v>
      </c>
      <c r="F40" s="21">
        <v>6161373.740000002</v>
      </c>
      <c r="J40" s="25"/>
    </row>
    <row r="41" spans="1:10" s="8" customFormat="1" ht="15" customHeight="1">
      <c r="A41" s="202" t="s">
        <v>47</v>
      </c>
      <c r="B41" s="202"/>
      <c r="D41" s="22">
        <f>SUM(D37:D40)</f>
        <v>15951300</v>
      </c>
      <c r="E41" s="22">
        <f>SUM(E37:E40)</f>
        <v>25187275.18</v>
      </c>
      <c r="F41" s="23">
        <f>SUM(F37:F40)</f>
        <v>25187276.080000002</v>
      </c>
      <c r="J41" s="25"/>
    </row>
    <row r="42" spans="4:10" s="8" customFormat="1" ht="15.75">
      <c r="D42" s="2"/>
      <c r="E42" s="2"/>
      <c r="F42" s="24"/>
      <c r="J42" s="25"/>
    </row>
    <row r="43" spans="1:10" s="8" customFormat="1" ht="15.75">
      <c r="A43" s="8" t="s">
        <v>48</v>
      </c>
      <c r="B43" s="8" t="s">
        <v>17</v>
      </c>
      <c r="D43" s="20">
        <v>7673517</v>
      </c>
      <c r="E43" s="20">
        <v>11383272.21</v>
      </c>
      <c r="F43" s="21">
        <v>11317261.21</v>
      </c>
      <c r="J43" s="25"/>
    </row>
    <row r="44" spans="1:10" s="8" customFormat="1" ht="15.75">
      <c r="A44" s="8" t="s">
        <v>49</v>
      </c>
      <c r="B44" s="8" t="s">
        <v>19</v>
      </c>
      <c r="D44" s="20">
        <v>12010000</v>
      </c>
      <c r="E44" s="20">
        <v>8812269.22</v>
      </c>
      <c r="F44" s="21">
        <v>8813269.22</v>
      </c>
      <c r="J44" s="25"/>
    </row>
    <row r="45" spans="1:10" s="8" customFormat="1" ht="14.25" customHeight="1">
      <c r="A45" s="202" t="s">
        <v>50</v>
      </c>
      <c r="B45" s="202"/>
      <c r="D45" s="22">
        <f>SUM(D43:D44)</f>
        <v>19683517</v>
      </c>
      <c r="E45" s="22">
        <f>SUM(E43:E44)</f>
        <v>20195541.43</v>
      </c>
      <c r="F45" s="23">
        <f>SUM(F43:F44)</f>
        <v>20130530.43</v>
      </c>
      <c r="J45" s="25"/>
    </row>
    <row r="46" spans="4:10" s="8" customFormat="1" ht="15.75">
      <c r="D46" s="2"/>
      <c r="E46" s="2"/>
      <c r="F46" s="24"/>
      <c r="J46" s="25"/>
    </row>
    <row r="47" spans="1:10" s="8" customFormat="1" ht="15.75">
      <c r="A47" s="8" t="s">
        <v>51</v>
      </c>
      <c r="B47" s="8" t="s">
        <v>21</v>
      </c>
      <c r="D47" s="20">
        <v>3732217</v>
      </c>
      <c r="E47" s="20">
        <v>-4991733.75</v>
      </c>
      <c r="F47" s="21">
        <v>-5056745.649999999</v>
      </c>
      <c r="J47" s="25"/>
    </row>
    <row r="48" spans="1:10" s="8" customFormat="1" ht="15.75" hidden="1">
      <c r="A48" s="201" t="s">
        <v>52</v>
      </c>
      <c r="B48" s="201"/>
      <c r="C48" s="25">
        <v>-1700700</v>
      </c>
      <c r="D48" s="20">
        <v>-5244462</v>
      </c>
      <c r="E48" s="21">
        <v>-4692544.95</v>
      </c>
      <c r="F48" s="25"/>
      <c r="J48" s="25"/>
    </row>
    <row r="49" spans="1:10" s="8" customFormat="1" ht="15.75" hidden="1">
      <c r="A49" s="201" t="s">
        <v>53</v>
      </c>
      <c r="B49" s="201"/>
      <c r="D49" s="20">
        <v>999920</v>
      </c>
      <c r="E49" s="21">
        <v>999920</v>
      </c>
      <c r="F49" s="25"/>
      <c r="J49" s="25"/>
    </row>
    <row r="50" spans="1:10" s="8" customFormat="1" ht="15.75" hidden="1">
      <c r="A50" s="201" t="s">
        <v>54</v>
      </c>
      <c r="B50" s="201"/>
      <c r="C50" s="25">
        <v>-840000</v>
      </c>
      <c r="D50" s="20">
        <v>-840000</v>
      </c>
      <c r="E50" s="21">
        <v>-1398240</v>
      </c>
      <c r="F50" s="25"/>
      <c r="J50" s="25"/>
    </row>
    <row r="51" spans="4:10" s="8" customFormat="1" ht="15.75" hidden="1">
      <c r="D51" s="2"/>
      <c r="E51" s="26"/>
      <c r="J51" s="25"/>
    </row>
    <row r="52" spans="1:10" s="5" customFormat="1" ht="15.75">
      <c r="A52" s="5" t="s">
        <v>55</v>
      </c>
      <c r="C52" s="27"/>
      <c r="D52" s="22">
        <f>D47</f>
        <v>3732217</v>
      </c>
      <c r="E52" s="22">
        <f>E47</f>
        <v>-4991733.75</v>
      </c>
      <c r="F52" s="23">
        <f>F47</f>
        <v>-5056745.649999999</v>
      </c>
      <c r="J52" s="25"/>
    </row>
    <row r="53" s="8" customFormat="1" ht="15.75">
      <c r="J53" s="25"/>
    </row>
    <row r="54" spans="1:6" ht="15">
      <c r="A54" s="28"/>
      <c r="B54" s="28"/>
      <c r="C54" s="28"/>
      <c r="D54" s="28"/>
      <c r="E54" s="28"/>
      <c r="F54" s="28"/>
    </row>
    <row r="55" spans="1:10" s="29" customFormat="1" ht="15.75">
      <c r="A55" s="13" t="s">
        <v>56</v>
      </c>
      <c r="B55" s="13"/>
      <c r="C55" s="13"/>
      <c r="D55" s="13"/>
      <c r="E55" s="13"/>
      <c r="F55" s="13"/>
      <c r="J55" s="20"/>
    </row>
    <row r="56" spans="1:6" ht="15.75">
      <c r="A56" s="30"/>
      <c r="B56" s="31"/>
      <c r="C56" s="31"/>
      <c r="D56" s="17" t="s">
        <v>40</v>
      </c>
      <c r="E56" s="17" t="s">
        <v>41</v>
      </c>
      <c r="F56" s="18" t="s">
        <v>42</v>
      </c>
    </row>
    <row r="57" spans="1:10" s="29" customFormat="1" ht="15.75">
      <c r="A57" s="5" t="s">
        <v>57</v>
      </c>
      <c r="B57" s="5"/>
      <c r="C57" s="5"/>
      <c r="D57" s="22">
        <f>SUM(D58:D63)</f>
        <v>9070000</v>
      </c>
      <c r="E57" s="22">
        <f>SUM(E58:E63)</f>
        <v>11325033.969999999</v>
      </c>
      <c r="F57" s="23">
        <f>SUM(F58:F63)</f>
        <v>11325034.169999998</v>
      </c>
      <c r="J57" s="20"/>
    </row>
    <row r="58" spans="1:10" s="34" customFormat="1" ht="15.75">
      <c r="A58" s="32">
        <v>1111</v>
      </c>
      <c r="B58" s="33" t="s">
        <v>58</v>
      </c>
      <c r="C58" s="33"/>
      <c r="D58" s="20">
        <v>1900000</v>
      </c>
      <c r="E58" s="20">
        <v>2236722.33</v>
      </c>
      <c r="F58" s="21">
        <v>2236722.53</v>
      </c>
      <c r="J58" s="63"/>
    </row>
    <row r="59" spans="1:10" s="34" customFormat="1" ht="15.75">
      <c r="A59" s="32">
        <v>1112</v>
      </c>
      <c r="B59" s="33" t="s">
        <v>59</v>
      </c>
      <c r="C59" s="33"/>
      <c r="D59" s="20">
        <v>150000</v>
      </c>
      <c r="E59" s="20">
        <v>431917.34</v>
      </c>
      <c r="F59" s="21">
        <v>431917.34</v>
      </c>
      <c r="J59" s="63"/>
    </row>
    <row r="60" spans="1:10" s="34" customFormat="1" ht="15.75">
      <c r="A60" s="32">
        <v>1113</v>
      </c>
      <c r="B60" s="33" t="s">
        <v>60</v>
      </c>
      <c r="C60" s="33"/>
      <c r="D60" s="20">
        <v>220000</v>
      </c>
      <c r="E60" s="20">
        <v>250782.61</v>
      </c>
      <c r="F60" s="21">
        <v>250782.61</v>
      </c>
      <c r="J60" s="63"/>
    </row>
    <row r="61" spans="1:10" s="34" customFormat="1" ht="15.75">
      <c r="A61" s="32">
        <v>1121</v>
      </c>
      <c r="B61" s="33" t="s">
        <v>61</v>
      </c>
      <c r="C61" s="33"/>
      <c r="D61" s="20">
        <v>2400000</v>
      </c>
      <c r="E61" s="20">
        <v>2569992.84</v>
      </c>
      <c r="F61" s="21">
        <v>2569992.84</v>
      </c>
      <c r="J61" s="63"/>
    </row>
    <row r="62" spans="1:10" s="34" customFormat="1" ht="15.75">
      <c r="A62" s="32">
        <v>1122</v>
      </c>
      <c r="B62" s="33" t="s">
        <v>62</v>
      </c>
      <c r="C62" s="33"/>
      <c r="D62" s="20"/>
      <c r="E62" s="20">
        <v>621110</v>
      </c>
      <c r="F62" s="21">
        <v>621110</v>
      </c>
      <c r="J62" s="63"/>
    </row>
    <row r="63" spans="1:10" s="34" customFormat="1" ht="15.75">
      <c r="A63" s="32">
        <v>1211</v>
      </c>
      <c r="B63" s="33" t="s">
        <v>63</v>
      </c>
      <c r="C63" s="33"/>
      <c r="D63" s="20">
        <v>4400000</v>
      </c>
      <c r="E63" s="20">
        <v>5214508.85</v>
      </c>
      <c r="F63" s="21">
        <v>5214508.85</v>
      </c>
      <c r="J63" s="63"/>
    </row>
    <row r="64" spans="1:10" s="29" customFormat="1" ht="15.75">
      <c r="A64" s="35" t="s">
        <v>64</v>
      </c>
      <c r="B64" s="35"/>
      <c r="C64" s="5"/>
      <c r="D64" s="22">
        <f>SUM(D65:D70)</f>
        <v>550000</v>
      </c>
      <c r="E64" s="22">
        <f>SUM(E65:E70)</f>
        <v>488509</v>
      </c>
      <c r="F64" s="23">
        <f>SUM(F65:F70)</f>
        <v>488509</v>
      </c>
      <c r="J64" s="20"/>
    </row>
    <row r="65" spans="1:10" s="34" customFormat="1" ht="15.75">
      <c r="A65" s="32">
        <v>1334</v>
      </c>
      <c r="B65" s="36" t="s">
        <v>65</v>
      </c>
      <c r="C65" s="36"/>
      <c r="D65" s="20">
        <v>50000</v>
      </c>
      <c r="E65" s="20">
        <v>15233</v>
      </c>
      <c r="F65" s="37">
        <v>15233</v>
      </c>
      <c r="J65" s="63"/>
    </row>
    <row r="66" spans="1:10" s="34" customFormat="1" ht="15.75">
      <c r="A66" s="32">
        <v>1335</v>
      </c>
      <c r="B66" s="36" t="s">
        <v>66</v>
      </c>
      <c r="C66" s="36"/>
      <c r="D66" s="20"/>
      <c r="E66" s="20">
        <v>59</v>
      </c>
      <c r="F66" s="37">
        <v>59</v>
      </c>
      <c r="H66" s="36"/>
      <c r="J66" s="63"/>
    </row>
    <row r="67" spans="1:10" s="34" customFormat="1" ht="15.75">
      <c r="A67" s="32">
        <v>1340</v>
      </c>
      <c r="B67" s="36" t="s">
        <v>67</v>
      </c>
      <c r="C67" s="36"/>
      <c r="D67" s="20">
        <v>450000</v>
      </c>
      <c r="E67" s="20">
        <v>425226</v>
      </c>
      <c r="F67" s="37">
        <v>425226</v>
      </c>
      <c r="J67" s="63"/>
    </row>
    <row r="68" spans="1:10" s="34" customFormat="1" ht="15.75">
      <c r="A68" s="32">
        <v>1341</v>
      </c>
      <c r="B68" s="36" t="s">
        <v>68</v>
      </c>
      <c r="C68" s="36"/>
      <c r="D68" s="20">
        <v>30000</v>
      </c>
      <c r="E68" s="20">
        <v>26663</v>
      </c>
      <c r="F68" s="37">
        <f>E68</f>
        <v>26663</v>
      </c>
      <c r="J68" s="63"/>
    </row>
    <row r="69" spans="1:10" s="34" customFormat="1" ht="15.75">
      <c r="A69" s="32">
        <v>1343</v>
      </c>
      <c r="B69" s="36" t="s">
        <v>69</v>
      </c>
      <c r="C69" s="36"/>
      <c r="D69" s="20">
        <v>15000</v>
      </c>
      <c r="E69" s="20">
        <v>14700</v>
      </c>
      <c r="F69" s="37">
        <f>E69</f>
        <v>14700</v>
      </c>
      <c r="J69" s="63"/>
    </row>
    <row r="70" spans="1:10" s="34" customFormat="1" ht="15.75">
      <c r="A70" s="32">
        <v>1345</v>
      </c>
      <c r="B70" s="36" t="s">
        <v>70</v>
      </c>
      <c r="C70" s="36"/>
      <c r="D70" s="20">
        <v>5000</v>
      </c>
      <c r="E70" s="20">
        <v>6628</v>
      </c>
      <c r="F70" s="37">
        <f>E70</f>
        <v>6628</v>
      </c>
      <c r="J70" s="63"/>
    </row>
    <row r="71" spans="1:10" s="29" customFormat="1" ht="15.75">
      <c r="A71" s="35" t="s">
        <v>71</v>
      </c>
      <c r="B71" s="35"/>
      <c r="C71" s="5"/>
      <c r="D71" s="22">
        <f>D72+D73</f>
        <v>100000</v>
      </c>
      <c r="E71" s="22">
        <f>E72+E73</f>
        <v>100660.42</v>
      </c>
      <c r="F71" s="23">
        <f>F72+F73</f>
        <v>100660.42</v>
      </c>
      <c r="J71" s="20"/>
    </row>
    <row r="72" spans="1:10" s="34" customFormat="1" ht="15.75" customHeight="1">
      <c r="A72" s="32">
        <v>1351</v>
      </c>
      <c r="B72" s="36" t="s">
        <v>72</v>
      </c>
      <c r="C72" s="36"/>
      <c r="D72" s="20">
        <v>50000</v>
      </c>
      <c r="E72" s="20">
        <v>44155.58</v>
      </c>
      <c r="F72" s="37">
        <f>E72</f>
        <v>44155.58</v>
      </c>
      <c r="J72" s="63"/>
    </row>
    <row r="73" spans="1:10" s="34" customFormat="1" ht="15.75">
      <c r="A73" s="32">
        <v>1355</v>
      </c>
      <c r="B73" s="36" t="s">
        <v>73</v>
      </c>
      <c r="C73" s="36"/>
      <c r="D73" s="20">
        <v>50000</v>
      </c>
      <c r="E73" s="20">
        <v>56504.84</v>
      </c>
      <c r="F73" s="37">
        <f>E73</f>
        <v>56504.84</v>
      </c>
      <c r="J73" s="63"/>
    </row>
    <row r="74" spans="1:10" s="29" customFormat="1" ht="15.75">
      <c r="A74" s="35" t="s">
        <v>74</v>
      </c>
      <c r="B74" s="35"/>
      <c r="C74" s="5"/>
      <c r="D74" s="22">
        <v>20000</v>
      </c>
      <c r="E74" s="22">
        <v>10055</v>
      </c>
      <c r="F74" s="23">
        <f>E74</f>
        <v>10055</v>
      </c>
      <c r="J74" s="20"/>
    </row>
    <row r="75" spans="1:10" s="29" customFormat="1" ht="15.75">
      <c r="A75" s="38" t="s">
        <v>75</v>
      </c>
      <c r="B75" s="38"/>
      <c r="C75" s="30"/>
      <c r="D75" s="22">
        <v>600000</v>
      </c>
      <c r="E75" s="22">
        <v>799391.35</v>
      </c>
      <c r="F75" s="23">
        <f>E75</f>
        <v>799391.35</v>
      </c>
      <c r="J75" s="20"/>
    </row>
    <row r="76" spans="1:10" s="29" customFormat="1" ht="15.75">
      <c r="A76" s="39" t="s">
        <v>76</v>
      </c>
      <c r="B76" s="39"/>
      <c r="C76" s="5"/>
      <c r="D76" s="40">
        <f>D57+D64+D75+D74+D71</f>
        <v>10340000</v>
      </c>
      <c r="E76" s="40">
        <f>E57+E64+E74+E75+E71</f>
        <v>12723649.739999998</v>
      </c>
      <c r="F76" s="41">
        <f>F57+F64+F74+F75+F71</f>
        <v>12723649.939999998</v>
      </c>
      <c r="G76" s="22">
        <f>F37-F76</f>
        <v>0</v>
      </c>
      <c r="J76" s="20"/>
    </row>
    <row r="77" spans="3:10" s="42" customFormat="1" ht="15">
      <c r="C77" s="43"/>
      <c r="D77" s="43"/>
      <c r="E77" s="43"/>
      <c r="J77" s="43"/>
    </row>
    <row r="78" spans="1:6" ht="15">
      <c r="A78" s="28"/>
      <c r="B78" s="28"/>
      <c r="C78" s="28"/>
      <c r="D78" s="28"/>
      <c r="E78" s="28"/>
      <c r="F78" s="28"/>
    </row>
    <row r="79" spans="1:6" ht="15.75">
      <c r="A79" s="13" t="s">
        <v>77</v>
      </c>
      <c r="B79" s="14"/>
      <c r="C79" s="14"/>
      <c r="D79" s="14"/>
      <c r="E79" s="14"/>
      <c r="F79" s="14"/>
    </row>
    <row r="80" spans="1:6" ht="15.75">
      <c r="A80" s="44"/>
      <c r="B80" s="45"/>
      <c r="C80" s="45"/>
      <c r="D80" s="17" t="s">
        <v>40</v>
      </c>
      <c r="E80" s="17" t="s">
        <v>41</v>
      </c>
      <c r="F80" s="18" t="s">
        <v>42</v>
      </c>
    </row>
    <row r="81" spans="1:6" ht="15.75" customHeight="1">
      <c r="A81" s="32">
        <v>2111</v>
      </c>
      <c r="B81" s="8" t="s">
        <v>78</v>
      </c>
      <c r="C81" s="8"/>
      <c r="D81" s="20">
        <f>1000000+550000+260000+19000+18000+31000</f>
        <v>1878000</v>
      </c>
      <c r="E81" s="20">
        <f>1337761+570076+261807+2358+18238+520+10500+23835+4700+8794</f>
        <v>2238589</v>
      </c>
      <c r="F81" s="23">
        <f>E81</f>
        <v>2238589</v>
      </c>
    </row>
    <row r="82" spans="1:6" ht="15.75" customHeight="1">
      <c r="A82" s="32">
        <v>2112</v>
      </c>
      <c r="B82" s="8" t="s">
        <v>79</v>
      </c>
      <c r="C82" s="8"/>
      <c r="D82" s="20">
        <f>25000+15000+30000</f>
        <v>70000</v>
      </c>
      <c r="E82" s="20">
        <f>16225+17800+9924</f>
        <v>43949</v>
      </c>
      <c r="F82" s="23">
        <f aca="true" t="shared" si="0" ref="F82:F90">E82</f>
        <v>43949</v>
      </c>
    </row>
    <row r="83" spans="1:6" ht="15.75" customHeight="1">
      <c r="A83" s="32">
        <v>2119</v>
      </c>
      <c r="B83" s="8" t="s">
        <v>80</v>
      </c>
      <c r="C83" s="8"/>
      <c r="D83" s="20"/>
      <c r="E83" s="20">
        <v>1815</v>
      </c>
      <c r="F83" s="23">
        <f t="shared" si="0"/>
        <v>1815</v>
      </c>
    </row>
    <row r="84" spans="1:6" ht="15.75" customHeight="1">
      <c r="A84" s="32">
        <v>2131</v>
      </c>
      <c r="B84" s="8" t="s">
        <v>81</v>
      </c>
      <c r="C84" s="8"/>
      <c r="D84" s="20">
        <f>20000+1000000+7000</f>
        <v>1027000</v>
      </c>
      <c r="E84" s="20">
        <f>47250+2208853+4860</f>
        <v>2260963</v>
      </c>
      <c r="F84" s="23">
        <f t="shared" si="0"/>
        <v>2260963</v>
      </c>
    </row>
    <row r="85" spans="1:6" ht="15.75" customHeight="1">
      <c r="A85" s="32">
        <v>2132</v>
      </c>
      <c r="B85" s="8" t="s">
        <v>82</v>
      </c>
      <c r="C85" s="8"/>
      <c r="D85" s="20">
        <v>704000</v>
      </c>
      <c r="E85" s="20">
        <f>691057+60000</f>
        <v>751057</v>
      </c>
      <c r="F85" s="23">
        <f t="shared" si="0"/>
        <v>751057</v>
      </c>
    </row>
    <row r="86" spans="1:6" ht="15.75" customHeight="1">
      <c r="A86" s="32">
        <v>2141</v>
      </c>
      <c r="B86" s="8" t="s">
        <v>83</v>
      </c>
      <c r="C86" s="8"/>
      <c r="D86" s="20">
        <v>30400</v>
      </c>
      <c r="E86" s="20">
        <f>6043.09+278.96</f>
        <v>6322.05</v>
      </c>
      <c r="F86" s="23">
        <f t="shared" si="0"/>
        <v>6322.05</v>
      </c>
    </row>
    <row r="87" spans="1:6" ht="15.75" customHeight="1">
      <c r="A87" s="32">
        <v>2222</v>
      </c>
      <c r="B87" s="8" t="s">
        <v>84</v>
      </c>
      <c r="C87" s="8"/>
      <c r="D87" s="20"/>
      <c r="E87" s="20">
        <v>75066</v>
      </c>
      <c r="F87" s="23">
        <f t="shared" si="0"/>
        <v>75066</v>
      </c>
    </row>
    <row r="88" spans="1:6" ht="15.75" customHeight="1">
      <c r="A88" s="32">
        <v>2324</v>
      </c>
      <c r="B88" s="8" t="s">
        <v>85</v>
      </c>
      <c r="C88" s="8"/>
      <c r="D88" s="20">
        <f>175000+220200</f>
        <v>395200</v>
      </c>
      <c r="E88" s="20">
        <f>8315+2460+5439+1538+127534.9+205932</f>
        <v>351218.9</v>
      </c>
      <c r="F88" s="23">
        <f t="shared" si="0"/>
        <v>351218.9</v>
      </c>
    </row>
    <row r="89" spans="1:6" ht="15.75" customHeight="1">
      <c r="A89" s="32">
        <v>2343</v>
      </c>
      <c r="B89" s="8" t="s">
        <v>86</v>
      </c>
      <c r="C89" s="8"/>
      <c r="D89" s="20">
        <v>30000</v>
      </c>
      <c r="E89" s="20">
        <v>18900</v>
      </c>
      <c r="F89" s="23">
        <f t="shared" si="0"/>
        <v>18900</v>
      </c>
    </row>
    <row r="90" spans="1:6" ht="15.75" customHeight="1">
      <c r="A90" s="32">
        <v>2460</v>
      </c>
      <c r="B90" s="8" t="s">
        <v>87</v>
      </c>
      <c r="C90" s="8"/>
      <c r="D90" s="20"/>
      <c r="E90" s="20">
        <v>96262.45</v>
      </c>
      <c r="F90" s="23">
        <f t="shared" si="0"/>
        <v>96262.45</v>
      </c>
    </row>
    <row r="91" spans="1:10" s="29" customFormat="1" ht="15.75">
      <c r="A91" s="39" t="s">
        <v>88</v>
      </c>
      <c r="B91" s="39"/>
      <c r="C91" s="46"/>
      <c r="D91" s="47">
        <f>SUM(D81:D90)</f>
        <v>4134600</v>
      </c>
      <c r="E91" s="47">
        <f>SUM(E81:E90)</f>
        <v>5844142.4</v>
      </c>
      <c r="F91" s="48">
        <f>SUM(F81:F90)</f>
        <v>5844142.4</v>
      </c>
      <c r="G91" s="22">
        <f>F91-F38</f>
        <v>0</v>
      </c>
      <c r="J91" s="20"/>
    </row>
    <row r="92" spans="1:10" s="34" customFormat="1" ht="15.75">
      <c r="A92" s="31"/>
      <c r="B92" s="31"/>
      <c r="C92" s="49"/>
      <c r="D92" s="49"/>
      <c r="E92" s="49"/>
      <c r="F92" s="31"/>
      <c r="J92" s="63"/>
    </row>
    <row r="93" spans="1:10" s="34" customFormat="1" ht="15.75">
      <c r="A93" s="50"/>
      <c r="B93" s="50"/>
      <c r="C93" s="51"/>
      <c r="D93" s="51"/>
      <c r="E93" s="51"/>
      <c r="F93" s="50"/>
      <c r="J93" s="63"/>
    </row>
    <row r="94" spans="1:10" s="34" customFormat="1" ht="12.75">
      <c r="A94" s="52"/>
      <c r="B94" s="52"/>
      <c r="C94" s="53"/>
      <c r="D94" s="53"/>
      <c r="E94" s="53"/>
      <c r="F94" s="52"/>
      <c r="J94" s="63"/>
    </row>
    <row r="95" spans="1:10" s="29" customFormat="1" ht="15.75">
      <c r="A95" s="54" t="s">
        <v>89</v>
      </c>
      <c r="B95" s="54"/>
      <c r="C95" s="55"/>
      <c r="D95" s="55"/>
      <c r="E95" s="55"/>
      <c r="F95" s="54"/>
      <c r="J95" s="20"/>
    </row>
    <row r="96" spans="1:10" s="34" customFormat="1" ht="15.75">
      <c r="A96" s="44"/>
      <c r="B96" s="45"/>
      <c r="C96" s="56"/>
      <c r="D96" s="17" t="s">
        <v>40</v>
      </c>
      <c r="E96" s="17" t="s">
        <v>41</v>
      </c>
      <c r="F96" s="18" t="s">
        <v>42</v>
      </c>
      <c r="J96" s="63"/>
    </row>
    <row r="97" spans="1:10" s="34" customFormat="1" ht="18.75" customHeight="1">
      <c r="A97" s="50" t="s">
        <v>90</v>
      </c>
      <c r="B97" s="50"/>
      <c r="C97" s="141"/>
      <c r="D97" s="57">
        <v>100000</v>
      </c>
      <c r="E97" s="57">
        <v>138065</v>
      </c>
      <c r="F97" s="76">
        <f>E97</f>
        <v>138065</v>
      </c>
      <c r="J97" s="63"/>
    </row>
    <row r="98" spans="1:10" s="34" customFormat="1" ht="18.75" customHeight="1">
      <c r="A98" s="50" t="s">
        <v>253</v>
      </c>
      <c r="B98" s="50"/>
      <c r="C98" s="31"/>
      <c r="D98" s="57"/>
      <c r="E98" s="57">
        <v>320045</v>
      </c>
      <c r="F98" s="76">
        <f>E98</f>
        <v>320045</v>
      </c>
      <c r="J98" s="63"/>
    </row>
    <row r="99" spans="1:10" s="29" customFormat="1" ht="15.75">
      <c r="A99" s="39" t="s">
        <v>91</v>
      </c>
      <c r="B99" s="39"/>
      <c r="C99" s="5"/>
      <c r="D99" s="40">
        <f>SUM(D97:D97)</f>
        <v>100000</v>
      </c>
      <c r="E99" s="40">
        <f>SUM(E97:E97)</f>
        <v>138065</v>
      </c>
      <c r="F99" s="41">
        <f>SUM(F97:F98)</f>
        <v>458110</v>
      </c>
      <c r="J99" s="20"/>
    </row>
    <row r="100" spans="1:10" s="29" customFormat="1" ht="15">
      <c r="A100" s="59"/>
      <c r="B100" s="59"/>
      <c r="C100" s="60"/>
      <c r="D100" s="60"/>
      <c r="E100" s="60"/>
      <c r="F100" s="59"/>
      <c r="J100" s="20"/>
    </row>
    <row r="101" spans="1:10" s="34" customFormat="1" ht="12.75">
      <c r="A101" s="52"/>
      <c r="B101" s="52"/>
      <c r="C101" s="53"/>
      <c r="D101" s="53"/>
      <c r="E101" s="53"/>
      <c r="F101" s="52"/>
      <c r="J101" s="63"/>
    </row>
    <row r="102" spans="1:10" s="34" customFormat="1" ht="15.75">
      <c r="A102" s="54" t="s">
        <v>92</v>
      </c>
      <c r="B102" s="61"/>
      <c r="C102" s="62"/>
      <c r="D102" s="62"/>
      <c r="E102" s="62"/>
      <c r="F102" s="61"/>
      <c r="G102" s="63"/>
      <c r="J102" s="63"/>
    </row>
    <row r="103" spans="1:7" ht="15.75">
      <c r="A103" s="44"/>
      <c r="B103" s="45"/>
      <c r="C103" s="45"/>
      <c r="D103" s="17" t="s">
        <v>40</v>
      </c>
      <c r="E103" s="17" t="s">
        <v>41</v>
      </c>
      <c r="F103" s="18" t="s">
        <v>42</v>
      </c>
      <c r="G103" s="20"/>
    </row>
    <row r="104" spans="1:10" s="29" customFormat="1" ht="15.75">
      <c r="A104" s="35">
        <v>4112</v>
      </c>
      <c r="B104" s="5" t="s">
        <v>93</v>
      </c>
      <c r="C104" s="5"/>
      <c r="D104" s="22">
        <v>176600</v>
      </c>
      <c r="E104" s="22">
        <v>176700</v>
      </c>
      <c r="F104" s="23">
        <f>E104</f>
        <v>176700</v>
      </c>
      <c r="J104" s="20"/>
    </row>
    <row r="105" spans="1:10" s="29" customFormat="1" ht="15.75">
      <c r="A105" s="35">
        <v>4116</v>
      </c>
      <c r="B105" s="5" t="s">
        <v>94</v>
      </c>
      <c r="C105" s="5"/>
      <c r="D105" s="22">
        <v>200000</v>
      </c>
      <c r="E105" s="22">
        <v>900786</v>
      </c>
      <c r="F105" s="23">
        <f>E105</f>
        <v>900786</v>
      </c>
      <c r="J105" s="20"/>
    </row>
    <row r="106" spans="1:10" s="67" customFormat="1" ht="15.75">
      <c r="A106" s="64"/>
      <c r="B106" s="199" t="s">
        <v>95</v>
      </c>
      <c r="C106" s="199"/>
      <c r="D106" s="65">
        <v>200000</v>
      </c>
      <c r="E106" s="65">
        <v>264541</v>
      </c>
      <c r="F106" s="66">
        <f>E106</f>
        <v>264541</v>
      </c>
      <c r="J106" s="136"/>
    </row>
    <row r="107" spans="1:10" s="67" customFormat="1" ht="15.75">
      <c r="A107" s="64"/>
      <c r="B107" s="199" t="s">
        <v>96</v>
      </c>
      <c r="C107" s="199"/>
      <c r="D107" s="65"/>
      <c r="E107" s="65">
        <v>3160</v>
      </c>
      <c r="F107" s="66">
        <f>E107</f>
        <v>3160</v>
      </c>
      <c r="J107" s="136"/>
    </row>
    <row r="108" spans="1:10" s="67" customFormat="1" ht="15.75">
      <c r="A108" s="64"/>
      <c r="B108" s="199" t="s">
        <v>237</v>
      </c>
      <c r="C108" s="199"/>
      <c r="D108" s="65"/>
      <c r="E108" s="65">
        <v>633085</v>
      </c>
      <c r="F108" s="66">
        <f>E108</f>
        <v>633085</v>
      </c>
      <c r="J108" s="136"/>
    </row>
    <row r="109" spans="1:10" s="29" customFormat="1" ht="15.75">
      <c r="A109" s="35">
        <v>4122</v>
      </c>
      <c r="B109" s="5" t="s">
        <v>97</v>
      </c>
      <c r="C109" s="5"/>
      <c r="D109" s="22"/>
      <c r="E109" s="22">
        <v>120244</v>
      </c>
      <c r="F109" s="23">
        <v>120244</v>
      </c>
      <c r="G109" s="22"/>
      <c r="J109" s="20"/>
    </row>
    <row r="110" spans="1:10" s="67" customFormat="1" ht="15.75">
      <c r="A110" s="64"/>
      <c r="B110" s="68" t="s">
        <v>98</v>
      </c>
      <c r="C110" s="68"/>
      <c r="D110" s="65"/>
      <c r="E110" s="65">
        <v>36100</v>
      </c>
      <c r="F110" s="66">
        <f>E110</f>
        <v>36100</v>
      </c>
      <c r="J110" s="136"/>
    </row>
    <row r="111" spans="1:10" s="67" customFormat="1" ht="15.75">
      <c r="A111" s="64"/>
      <c r="B111" s="68" t="s">
        <v>99</v>
      </c>
      <c r="C111" s="68"/>
      <c r="D111" s="65"/>
      <c r="E111" s="65">
        <v>24144</v>
      </c>
      <c r="F111" s="66">
        <f>E111</f>
        <v>24144</v>
      </c>
      <c r="J111" s="136"/>
    </row>
    <row r="112" spans="1:10" s="67" customFormat="1" ht="15.75">
      <c r="A112" s="64"/>
      <c r="B112" s="68" t="s">
        <v>100</v>
      </c>
      <c r="C112" s="68"/>
      <c r="D112" s="65"/>
      <c r="E112" s="65">
        <v>60000</v>
      </c>
      <c r="F112" s="66">
        <f>E112</f>
        <v>60000</v>
      </c>
      <c r="J112" s="136"/>
    </row>
    <row r="113" spans="1:6" ht="15.75" hidden="1">
      <c r="A113" s="36">
        <v>4211</v>
      </c>
      <c r="B113" s="8" t="s">
        <v>101</v>
      </c>
      <c r="C113" s="8"/>
      <c r="D113" s="20"/>
      <c r="E113" s="20"/>
      <c r="F113" s="37"/>
    </row>
    <row r="114" spans="1:10" s="29" customFormat="1" ht="15.75">
      <c r="A114" s="35">
        <v>4213</v>
      </c>
      <c r="B114" s="5" t="s">
        <v>102</v>
      </c>
      <c r="C114" s="5"/>
      <c r="D114" s="22"/>
      <c r="E114" s="22">
        <v>7041.23</v>
      </c>
      <c r="F114" s="23">
        <f aca="true" t="shared" si="1" ref="F114:F124">E114</f>
        <v>7041.23</v>
      </c>
      <c r="J114" s="20"/>
    </row>
    <row r="115" spans="1:6" ht="15.75">
      <c r="A115" s="36"/>
      <c r="B115" s="70" t="s">
        <v>103</v>
      </c>
      <c r="C115" s="70"/>
      <c r="D115" s="71"/>
      <c r="E115" s="71">
        <v>7041.23</v>
      </c>
      <c r="F115" s="72">
        <f t="shared" si="1"/>
        <v>7041.23</v>
      </c>
    </row>
    <row r="116" spans="1:10" s="29" customFormat="1" ht="15.75">
      <c r="A116" s="35">
        <v>4216</v>
      </c>
      <c r="B116" s="5" t="s">
        <v>105</v>
      </c>
      <c r="C116" s="5"/>
      <c r="D116" s="22"/>
      <c r="E116" s="22">
        <v>118728.18</v>
      </c>
      <c r="F116" s="23">
        <f t="shared" si="1"/>
        <v>118728.18</v>
      </c>
      <c r="J116" s="20"/>
    </row>
    <row r="117" spans="1:6" ht="15.75">
      <c r="A117" s="36"/>
      <c r="B117" s="70" t="s">
        <v>103</v>
      </c>
      <c r="C117" s="70"/>
      <c r="D117" s="71"/>
      <c r="E117" s="71">
        <v>4870.5</v>
      </c>
      <c r="F117" s="72">
        <f t="shared" si="1"/>
        <v>4870.5</v>
      </c>
    </row>
    <row r="118" spans="1:6" ht="15.75">
      <c r="A118" s="36"/>
      <c r="B118" s="70" t="s">
        <v>104</v>
      </c>
      <c r="C118" s="70"/>
      <c r="D118" s="71"/>
      <c r="E118" s="71">
        <v>120898.91</v>
      </c>
      <c r="F118" s="72">
        <f t="shared" si="1"/>
        <v>120898.91</v>
      </c>
    </row>
    <row r="119" spans="1:10" s="29" customFormat="1" ht="15.75">
      <c r="A119" s="35">
        <v>4222</v>
      </c>
      <c r="B119" s="5" t="s">
        <v>106</v>
      </c>
      <c r="C119" s="5"/>
      <c r="D119" s="22"/>
      <c r="E119" s="22">
        <v>258910</v>
      </c>
      <c r="F119" s="23">
        <f t="shared" si="1"/>
        <v>258910</v>
      </c>
      <c r="J119" s="20"/>
    </row>
    <row r="120" spans="1:10" s="29" customFormat="1" ht="15.75">
      <c r="A120" s="35"/>
      <c r="B120" s="171" t="s">
        <v>273</v>
      </c>
      <c r="C120" s="171"/>
      <c r="D120" s="172"/>
      <c r="E120" s="71">
        <v>18910</v>
      </c>
      <c r="F120" s="72">
        <f t="shared" si="1"/>
        <v>18910</v>
      </c>
      <c r="J120" s="20"/>
    </row>
    <row r="121" spans="1:10" s="29" customFormat="1" ht="15.75">
      <c r="A121" s="35"/>
      <c r="B121" s="171" t="s">
        <v>274</v>
      </c>
      <c r="C121" s="171"/>
      <c r="D121" s="172"/>
      <c r="E121" s="71">
        <v>105000</v>
      </c>
      <c r="F121" s="72">
        <f t="shared" si="1"/>
        <v>105000</v>
      </c>
      <c r="J121" s="20"/>
    </row>
    <row r="122" spans="1:10" s="29" customFormat="1" ht="15.75">
      <c r="A122" s="35"/>
      <c r="B122" s="171" t="s">
        <v>275</v>
      </c>
      <c r="C122" s="171"/>
      <c r="D122" s="172"/>
      <c r="E122" s="71">
        <v>135000</v>
      </c>
      <c r="F122" s="72">
        <f t="shared" si="1"/>
        <v>135000</v>
      </c>
      <c r="J122" s="20"/>
    </row>
    <row r="123" spans="1:10" s="29" customFormat="1" ht="15.75">
      <c r="A123" s="35">
        <v>4223</v>
      </c>
      <c r="B123" s="5" t="s">
        <v>238</v>
      </c>
      <c r="C123" s="5"/>
      <c r="D123" s="22"/>
      <c r="E123" s="22">
        <f>E124</f>
        <v>4578964.33</v>
      </c>
      <c r="F123" s="23">
        <f t="shared" si="1"/>
        <v>4578964.33</v>
      </c>
      <c r="J123" s="20"/>
    </row>
    <row r="124" spans="1:8" ht="15.75">
      <c r="A124" s="36"/>
      <c r="B124" s="199" t="s">
        <v>276</v>
      </c>
      <c r="C124" s="199"/>
      <c r="D124" s="69"/>
      <c r="E124" s="173">
        <v>4578964.33</v>
      </c>
      <c r="F124" s="66">
        <f t="shared" si="1"/>
        <v>4578964.33</v>
      </c>
      <c r="H124" s="29"/>
    </row>
    <row r="125" spans="1:10" s="29" customFormat="1" ht="15.75">
      <c r="A125" s="39" t="s">
        <v>107</v>
      </c>
      <c r="B125" s="39"/>
      <c r="C125" s="39"/>
      <c r="D125" s="40">
        <f>SUM(D104:D124)</f>
        <v>576600</v>
      </c>
      <c r="E125" s="174">
        <f>E104+E105+E109+E114+E119+E116+E123</f>
        <v>6161373.74</v>
      </c>
      <c r="F125" s="41">
        <f>F104+F105+F109+F114+F119+F116+F123</f>
        <v>6161373.74</v>
      </c>
      <c r="G125" s="22"/>
      <c r="J125" s="20"/>
    </row>
    <row r="126" spans="1:10" s="29" customFormat="1" ht="15">
      <c r="A126" s="59"/>
      <c r="B126" s="59"/>
      <c r="C126" s="59"/>
      <c r="D126" s="59"/>
      <c r="F126" s="60"/>
      <c r="J126" s="20"/>
    </row>
    <row r="127" spans="1:10" s="29" customFormat="1" ht="15.75">
      <c r="A127" s="13" t="s">
        <v>108</v>
      </c>
      <c r="B127" s="13"/>
      <c r="C127" s="13"/>
      <c r="D127" s="13"/>
      <c r="E127" s="13"/>
      <c r="F127" s="13"/>
      <c r="J127" s="20"/>
    </row>
    <row r="128" spans="1:8" ht="15.75">
      <c r="A128" s="30"/>
      <c r="B128" s="31"/>
      <c r="C128" s="74"/>
      <c r="D128" s="17" t="s">
        <v>40</v>
      </c>
      <c r="E128" s="17" t="s">
        <v>41</v>
      </c>
      <c r="F128" s="18" t="s">
        <v>42</v>
      </c>
      <c r="H128" s="29"/>
    </row>
    <row r="129" spans="1:10" s="29" customFormat="1" ht="15.75">
      <c r="A129" s="75" t="s">
        <v>109</v>
      </c>
      <c r="B129" s="75"/>
      <c r="C129" s="75"/>
      <c r="D129" s="60">
        <f>D130+D131+D132</f>
        <v>2579730</v>
      </c>
      <c r="E129" s="60">
        <f>E130+E131+E132</f>
        <v>3260443</v>
      </c>
      <c r="F129" s="76">
        <f>F130+F131+F132</f>
        <v>3260443</v>
      </c>
      <c r="J129" s="20"/>
    </row>
    <row r="130" spans="1:10" s="34" customFormat="1" ht="15.75" customHeight="1">
      <c r="A130" s="77" t="s">
        <v>110</v>
      </c>
      <c r="B130" s="50" t="s">
        <v>111</v>
      </c>
      <c r="C130" s="78"/>
      <c r="D130" s="20">
        <f>195000+555000+450000+18500+3750+28000+3750+125000+132000+112500+6700+10350+1080+47600+40500</f>
        <v>1729730</v>
      </c>
      <c r="E130" s="20">
        <v>2319809</v>
      </c>
      <c r="F130" s="21">
        <f>E130</f>
        <v>2319809</v>
      </c>
      <c r="J130" s="63"/>
    </row>
    <row r="131" spans="1:10" s="34" customFormat="1" ht="15.75" customHeight="1">
      <c r="A131" s="79">
        <v>5021</v>
      </c>
      <c r="B131" s="50" t="s">
        <v>112</v>
      </c>
      <c r="C131" s="78"/>
      <c r="D131" s="20">
        <f>47000+14400+53600+10000</f>
        <v>125000</v>
      </c>
      <c r="E131" s="57">
        <f>31515+16640+3000+16900+3600+70483+26702</f>
        <v>168840</v>
      </c>
      <c r="F131" s="21">
        <f>E131</f>
        <v>168840</v>
      </c>
      <c r="J131" s="63"/>
    </row>
    <row r="132" spans="1:10" s="34" customFormat="1" ht="15.75" customHeight="1">
      <c r="A132" s="80">
        <v>5023</v>
      </c>
      <c r="B132" s="31" t="s">
        <v>113</v>
      </c>
      <c r="C132" s="81"/>
      <c r="D132" s="73">
        <v>725000</v>
      </c>
      <c r="E132" s="73">
        <v>771794</v>
      </c>
      <c r="F132" s="82">
        <f>E132</f>
        <v>771794</v>
      </c>
      <c r="J132" s="63"/>
    </row>
    <row r="133" spans="1:10" ht="15.75">
      <c r="A133" s="75" t="s">
        <v>114</v>
      </c>
      <c r="B133" s="50"/>
      <c r="C133" s="50"/>
      <c r="D133" s="60">
        <f>SUM(D134:D161)</f>
        <v>3416800</v>
      </c>
      <c r="E133" s="60">
        <f>SUM(E134:E161)</f>
        <v>5575588.209999999</v>
      </c>
      <c r="F133" s="76">
        <f>SUM(F134:F162)</f>
        <v>5731261.209999999</v>
      </c>
      <c r="J133" s="63"/>
    </row>
    <row r="134" spans="1:10" s="34" customFormat="1" ht="15.75" customHeight="1">
      <c r="A134" s="77">
        <v>5134</v>
      </c>
      <c r="B134" s="8" t="s">
        <v>115</v>
      </c>
      <c r="C134" s="78"/>
      <c r="D134" s="57">
        <v>5000</v>
      </c>
      <c r="E134" s="20">
        <v>12955</v>
      </c>
      <c r="F134" s="58">
        <f>E134</f>
        <v>12955</v>
      </c>
      <c r="G134" s="63"/>
      <c r="J134" s="63"/>
    </row>
    <row r="135" spans="1:10" s="34" customFormat="1" ht="15.75" customHeight="1">
      <c r="A135" s="77">
        <v>5136</v>
      </c>
      <c r="B135" s="8" t="s">
        <v>116</v>
      </c>
      <c r="C135" s="78"/>
      <c r="D135" s="57">
        <v>13000</v>
      </c>
      <c r="E135" s="20">
        <f>9976+10663</f>
        <v>20639</v>
      </c>
      <c r="F135" s="58">
        <f aca="true" t="shared" si="2" ref="F135:F160">E135</f>
        <v>20639</v>
      </c>
      <c r="G135" s="63"/>
      <c r="J135" s="63"/>
    </row>
    <row r="136" spans="1:10" s="34" customFormat="1" ht="15.75" customHeight="1">
      <c r="A136" s="77">
        <v>5137</v>
      </c>
      <c r="B136" s="8" t="s">
        <v>117</v>
      </c>
      <c r="C136" s="78"/>
      <c r="D136" s="57">
        <f>5000+20000+50000</f>
        <v>75000</v>
      </c>
      <c r="E136" s="20">
        <f>26800+35845+10741+2990+36499+106737</f>
        <v>219612</v>
      </c>
      <c r="F136" s="58">
        <f t="shared" si="2"/>
        <v>219612</v>
      </c>
      <c r="G136" s="63"/>
      <c r="J136" s="63"/>
    </row>
    <row r="137" spans="1:10" s="34" customFormat="1" ht="15.75" customHeight="1">
      <c r="A137" s="77">
        <v>5138</v>
      </c>
      <c r="B137" s="8" t="s">
        <v>118</v>
      </c>
      <c r="C137" s="78"/>
      <c r="D137" s="57">
        <v>20000</v>
      </c>
      <c r="E137" s="20">
        <f>18050+9911.45</f>
        <v>27961.45</v>
      </c>
      <c r="F137" s="58">
        <f t="shared" si="2"/>
        <v>27961.45</v>
      </c>
      <c r="G137" s="63"/>
      <c r="J137" s="63"/>
    </row>
    <row r="138" spans="1:10" s="34" customFormat="1" ht="15.75" customHeight="1">
      <c r="A138" s="77">
        <v>5139</v>
      </c>
      <c r="B138" s="8" t="s">
        <v>119</v>
      </c>
      <c r="C138" s="78"/>
      <c r="D138" s="57">
        <f>120000+30000+2000+2000+10000+300+2000+1000+10000+20000+60000+10000+80000</f>
        <v>347300</v>
      </c>
      <c r="E138" s="20">
        <f>90402+7171+45867.85+1578+3047+2452+1753+1515+3621+3251+145512+3500+372+250086.84</f>
        <v>560128.69</v>
      </c>
      <c r="F138" s="58">
        <f t="shared" si="2"/>
        <v>560128.69</v>
      </c>
      <c r="G138" s="63"/>
      <c r="H138" s="63"/>
      <c r="J138" s="63"/>
    </row>
    <row r="139" spans="1:10" s="34" customFormat="1" ht="15.75" customHeight="1">
      <c r="A139" s="77">
        <v>5153</v>
      </c>
      <c r="B139" s="8" t="s">
        <v>120</v>
      </c>
      <c r="C139" s="78"/>
      <c r="D139" s="57">
        <f>100000+60000</f>
        <v>160000</v>
      </c>
      <c r="E139" s="57">
        <f>7471+34029+44192+26835+11272</f>
        <v>123799</v>
      </c>
      <c r="F139" s="58">
        <f t="shared" si="2"/>
        <v>123799</v>
      </c>
      <c r="G139" s="63"/>
      <c r="H139" s="63"/>
      <c r="J139" s="63"/>
    </row>
    <row r="140" spans="1:10" s="34" customFormat="1" ht="15.75" customHeight="1">
      <c r="A140" s="77">
        <v>5154</v>
      </c>
      <c r="B140" s="8" t="s">
        <v>121</v>
      </c>
      <c r="C140" s="78"/>
      <c r="D140" s="57">
        <f>45000+20000+70000+20000+130000+20000+20000+50000</f>
        <v>375000</v>
      </c>
      <c r="E140" s="20">
        <f>14357+7742+24857+20227+19464+120270+12038+14255+61384</f>
        <v>294594</v>
      </c>
      <c r="F140" s="58">
        <f t="shared" si="2"/>
        <v>294594</v>
      </c>
      <c r="G140" s="63"/>
      <c r="H140" s="63"/>
      <c r="J140" s="63"/>
    </row>
    <row r="141" spans="1:10" s="34" customFormat="1" ht="15.75" customHeight="1">
      <c r="A141" s="77">
        <v>5155</v>
      </c>
      <c r="B141" s="8" t="s">
        <v>239</v>
      </c>
      <c r="C141" s="78"/>
      <c r="D141" s="57"/>
      <c r="E141" s="20">
        <v>46345</v>
      </c>
      <c r="F141" s="58">
        <f t="shared" si="2"/>
        <v>46345</v>
      </c>
      <c r="G141" s="63"/>
      <c r="H141" s="63"/>
      <c r="J141" s="63"/>
    </row>
    <row r="142" spans="1:10" s="34" customFormat="1" ht="15.75" customHeight="1">
      <c r="A142" s="77">
        <v>5156</v>
      </c>
      <c r="B142" s="8" t="s">
        <v>122</v>
      </c>
      <c r="C142" s="78"/>
      <c r="D142" s="57">
        <f>50000+10000+80000+30000+10000</f>
        <v>180000</v>
      </c>
      <c r="E142" s="20">
        <f>50963+8378+1943+1700+12065+80000+35828+9729</f>
        <v>200606</v>
      </c>
      <c r="F142" s="58">
        <f t="shared" si="2"/>
        <v>200606</v>
      </c>
      <c r="G142" s="63"/>
      <c r="H142" s="63"/>
      <c r="J142" s="63"/>
    </row>
    <row r="143" spans="1:10" s="34" customFormat="1" ht="15.75" customHeight="1">
      <c r="A143" s="77">
        <v>5161</v>
      </c>
      <c r="B143" s="8" t="s">
        <v>123</v>
      </c>
      <c r="C143" s="78"/>
      <c r="D143" s="57">
        <f>10000</f>
        <v>10000</v>
      </c>
      <c r="E143" s="20">
        <f>8243</f>
        <v>8243</v>
      </c>
      <c r="F143" s="58">
        <f t="shared" si="2"/>
        <v>8243</v>
      </c>
      <c r="G143" s="63"/>
      <c r="J143" s="63"/>
    </row>
    <row r="144" spans="1:10" s="34" customFormat="1" ht="15.75" customHeight="1">
      <c r="A144" s="77">
        <v>5162</v>
      </c>
      <c r="B144" s="8" t="s">
        <v>124</v>
      </c>
      <c r="C144" s="78"/>
      <c r="D144" s="57">
        <f>10000+4000+8000</f>
        <v>22000</v>
      </c>
      <c r="E144" s="20">
        <f>14411.65+4548+19661+2000</f>
        <v>40620.65</v>
      </c>
      <c r="F144" s="58">
        <f t="shared" si="2"/>
        <v>40620.65</v>
      </c>
      <c r="G144" s="63"/>
      <c r="H144" s="63"/>
      <c r="J144" s="63"/>
    </row>
    <row r="145" spans="1:10" s="34" customFormat="1" ht="15.75" customHeight="1">
      <c r="A145" s="77">
        <v>5163</v>
      </c>
      <c r="B145" s="8" t="s">
        <v>125</v>
      </c>
      <c r="C145" s="78"/>
      <c r="D145" s="57">
        <f>15000+50000+2000</f>
        <v>67000</v>
      </c>
      <c r="E145" s="20">
        <f>8657+41549+14765.45+1092</f>
        <v>66063.45</v>
      </c>
      <c r="F145" s="58">
        <f t="shared" si="2"/>
        <v>66063.45</v>
      </c>
      <c r="G145" s="63"/>
      <c r="H145" s="63"/>
      <c r="J145" s="63"/>
    </row>
    <row r="146" spans="1:10" s="34" customFormat="1" ht="15.75" customHeight="1">
      <c r="A146" s="77">
        <v>5166</v>
      </c>
      <c r="B146" s="8" t="s">
        <v>126</v>
      </c>
      <c r="C146" s="78"/>
      <c r="D146" s="57">
        <v>20000</v>
      </c>
      <c r="E146" s="20">
        <f>847+520</f>
        <v>1367</v>
      </c>
      <c r="F146" s="58">
        <f t="shared" si="2"/>
        <v>1367</v>
      </c>
      <c r="G146" s="63"/>
      <c r="H146" s="63"/>
      <c r="J146" s="63"/>
    </row>
    <row r="147" spans="1:10" s="34" customFormat="1" ht="15.75" customHeight="1">
      <c r="A147" s="77">
        <v>5167</v>
      </c>
      <c r="B147" s="8" t="s">
        <v>127</v>
      </c>
      <c r="C147" s="78"/>
      <c r="D147" s="57">
        <v>14000</v>
      </c>
      <c r="E147" s="20">
        <f>2300</f>
        <v>2300</v>
      </c>
      <c r="F147" s="58">
        <f t="shared" si="2"/>
        <v>2300</v>
      </c>
      <c r="G147" s="63"/>
      <c r="H147" s="63"/>
      <c r="J147" s="63"/>
    </row>
    <row r="148" spans="1:10" s="34" customFormat="1" ht="15.75" customHeight="1">
      <c r="A148" s="77">
        <v>5169</v>
      </c>
      <c r="B148" s="8" t="s">
        <v>128</v>
      </c>
      <c r="C148" s="78"/>
      <c r="D148" s="57">
        <f>7000+250000+20000+30000+50000+6000+5000+80000+1500+10000+5000+50000+30000+450000+160000+20000+50000+100000</f>
        <v>1324500</v>
      </c>
      <c r="E148" s="20">
        <v>2032204.28</v>
      </c>
      <c r="F148" s="58">
        <f t="shared" si="2"/>
        <v>2032204.28</v>
      </c>
      <c r="G148" s="63"/>
      <c r="H148" s="63"/>
      <c r="J148" s="63"/>
    </row>
    <row r="149" spans="1:10" s="34" customFormat="1" ht="15.75" customHeight="1">
      <c r="A149" s="77">
        <v>5171</v>
      </c>
      <c r="B149" s="8" t="s">
        <v>129</v>
      </c>
      <c r="C149" s="78"/>
      <c r="D149" s="57">
        <f>50000+20000+35000+70000</f>
        <v>175000</v>
      </c>
      <c r="E149" s="20">
        <f>46313+3539+17492+45024+13225.3+9159.55+10412.5+11967+58392.34</f>
        <v>215524.69</v>
      </c>
      <c r="F149" s="58">
        <f t="shared" si="2"/>
        <v>215524.69</v>
      </c>
      <c r="G149" s="63"/>
      <c r="H149" s="63"/>
      <c r="J149" s="63"/>
    </row>
    <row r="150" spans="1:10" s="34" customFormat="1" ht="15.75" customHeight="1">
      <c r="A150" s="77">
        <v>5172</v>
      </c>
      <c r="B150" s="8" t="s">
        <v>130</v>
      </c>
      <c r="C150" s="78"/>
      <c r="D150" s="57">
        <v>20000</v>
      </c>
      <c r="E150" s="20">
        <v>30534</v>
      </c>
      <c r="F150" s="58">
        <f t="shared" si="2"/>
        <v>30534</v>
      </c>
      <c r="G150" s="63"/>
      <c r="H150" s="63"/>
      <c r="J150" s="63"/>
    </row>
    <row r="151" spans="1:10" s="34" customFormat="1" ht="15.75" customHeight="1">
      <c r="A151" s="77">
        <v>5173</v>
      </c>
      <c r="B151" s="8" t="s">
        <v>131</v>
      </c>
      <c r="C151" s="78"/>
      <c r="D151" s="57">
        <f>4000+50000+1000</f>
        <v>55000</v>
      </c>
      <c r="E151" s="20">
        <f>2401+53910+227</f>
        <v>56538</v>
      </c>
      <c r="F151" s="58">
        <f t="shared" si="2"/>
        <v>56538</v>
      </c>
      <c r="G151" s="63"/>
      <c r="H151" s="63"/>
      <c r="J151" s="63"/>
    </row>
    <row r="152" spans="1:10" s="34" customFormat="1" ht="15.75" customHeight="1">
      <c r="A152" s="77">
        <v>5175</v>
      </c>
      <c r="B152" s="8" t="s">
        <v>132</v>
      </c>
      <c r="C152" s="78"/>
      <c r="D152" s="57">
        <f>20000+20000</f>
        <v>40000</v>
      </c>
      <c r="E152" s="20">
        <f>23747+43345</f>
        <v>67092</v>
      </c>
      <c r="F152" s="58">
        <f t="shared" si="2"/>
        <v>67092</v>
      </c>
      <c r="G152" s="63"/>
      <c r="H152" s="63"/>
      <c r="J152" s="63"/>
    </row>
    <row r="153" spans="1:10" s="34" customFormat="1" ht="15.75" customHeight="1">
      <c r="A153" s="77">
        <v>5192</v>
      </c>
      <c r="B153" s="8" t="s">
        <v>240</v>
      </c>
      <c r="C153" s="78"/>
      <c r="D153" s="57"/>
      <c r="E153" s="20">
        <f>14460</f>
        <v>14460</v>
      </c>
      <c r="F153" s="58">
        <f t="shared" si="2"/>
        <v>14460</v>
      </c>
      <c r="G153" s="63"/>
      <c r="H153" s="63"/>
      <c r="J153" s="63"/>
    </row>
    <row r="154" spans="1:10" s="34" customFormat="1" ht="15.75" customHeight="1">
      <c r="A154" s="77">
        <v>5193</v>
      </c>
      <c r="B154" s="8" t="s">
        <v>133</v>
      </c>
      <c r="C154" s="78"/>
      <c r="D154" s="57">
        <v>40000</v>
      </c>
      <c r="E154" s="20">
        <f>24495</f>
        <v>24495</v>
      </c>
      <c r="F154" s="58">
        <f t="shared" si="2"/>
        <v>24495</v>
      </c>
      <c r="G154" s="63"/>
      <c r="H154" s="63"/>
      <c r="J154" s="63"/>
    </row>
    <row r="155" spans="1:10" s="34" customFormat="1" ht="15.75" customHeight="1">
      <c r="A155" s="77">
        <v>5361</v>
      </c>
      <c r="B155" s="8" t="s">
        <v>134</v>
      </c>
      <c r="C155" s="78"/>
      <c r="D155" s="57">
        <f>7000</f>
        <v>7000</v>
      </c>
      <c r="E155" s="20">
        <f>3000</f>
        <v>3000</v>
      </c>
      <c r="F155" s="58">
        <f t="shared" si="2"/>
        <v>3000</v>
      </c>
      <c r="G155" s="63"/>
      <c r="H155" s="63"/>
      <c r="J155" s="63"/>
    </row>
    <row r="156" spans="1:10" s="34" customFormat="1" ht="15.75" customHeight="1">
      <c r="A156" s="77">
        <v>5362</v>
      </c>
      <c r="B156" s="8" t="s">
        <v>135</v>
      </c>
      <c r="C156" s="78"/>
      <c r="D156" s="57">
        <f>400000+2000</f>
        <v>402000</v>
      </c>
      <c r="E156" s="20">
        <v>1202042</v>
      </c>
      <c r="F156" s="58">
        <f t="shared" si="2"/>
        <v>1202042</v>
      </c>
      <c r="G156" s="63"/>
      <c r="H156" s="63"/>
      <c r="J156" s="63"/>
    </row>
    <row r="157" spans="1:10" s="34" customFormat="1" ht="15.75" customHeight="1">
      <c r="A157" s="77">
        <v>5365</v>
      </c>
      <c r="B157" s="8" t="s">
        <v>136</v>
      </c>
      <c r="C157" s="78"/>
      <c r="D157" s="57">
        <v>10000</v>
      </c>
      <c r="E157" s="20">
        <f>1600</f>
        <v>1600</v>
      </c>
      <c r="F157" s="58">
        <f t="shared" si="2"/>
        <v>1600</v>
      </c>
      <c r="G157" s="63"/>
      <c r="H157" s="63"/>
      <c r="J157" s="63"/>
    </row>
    <row r="158" spans="1:10" s="34" customFormat="1" ht="15.75" customHeight="1">
      <c r="A158" s="79">
        <v>5492</v>
      </c>
      <c r="B158" s="50" t="s">
        <v>137</v>
      </c>
      <c r="C158" s="78"/>
      <c r="D158" s="57">
        <v>30000</v>
      </c>
      <c r="E158" s="57">
        <v>48000</v>
      </c>
      <c r="F158" s="58">
        <f t="shared" si="2"/>
        <v>48000</v>
      </c>
      <c r="G158" s="63"/>
      <c r="H158" s="63"/>
      <c r="J158" s="63"/>
    </row>
    <row r="159" spans="1:10" s="34" customFormat="1" ht="15.75" customHeight="1">
      <c r="A159" s="79">
        <v>5660</v>
      </c>
      <c r="B159" s="50" t="s">
        <v>138</v>
      </c>
      <c r="C159" s="78"/>
      <c r="D159" s="57"/>
      <c r="E159" s="57">
        <v>240000</v>
      </c>
      <c r="F159" s="58">
        <f t="shared" si="2"/>
        <v>240000</v>
      </c>
      <c r="G159" s="63"/>
      <c r="H159" s="63"/>
      <c r="J159" s="63"/>
    </row>
    <row r="160" spans="1:10" s="34" customFormat="1" ht="15.75" customHeight="1">
      <c r="A160" s="79">
        <v>5901</v>
      </c>
      <c r="B160" s="50" t="s">
        <v>241</v>
      </c>
      <c r="C160" s="78"/>
      <c r="D160" s="57">
        <v>5000</v>
      </c>
      <c r="E160" s="57">
        <v>0</v>
      </c>
      <c r="F160" s="58">
        <f t="shared" si="2"/>
        <v>0</v>
      </c>
      <c r="G160" s="63"/>
      <c r="H160" s="63"/>
      <c r="J160" s="63"/>
    </row>
    <row r="161" spans="1:10" s="34" customFormat="1" ht="15.75" customHeight="1">
      <c r="A161" s="79">
        <v>5909</v>
      </c>
      <c r="B161" s="50" t="s">
        <v>244</v>
      </c>
      <c r="C161" s="78"/>
      <c r="D161" s="57"/>
      <c r="E161" s="57">
        <v>14864</v>
      </c>
      <c r="F161" s="58">
        <f>E161</f>
        <v>14864</v>
      </c>
      <c r="G161" s="63"/>
      <c r="H161" s="63"/>
      <c r="J161" s="63"/>
    </row>
    <row r="162" spans="1:10" s="34" customFormat="1" ht="15.75" customHeight="1" hidden="1">
      <c r="A162" s="79"/>
      <c r="B162" s="50"/>
      <c r="C162" s="78"/>
      <c r="D162" s="57"/>
      <c r="E162" s="57"/>
      <c r="F162" s="58">
        <v>155673</v>
      </c>
      <c r="G162" s="63"/>
      <c r="H162" s="63"/>
      <c r="J162" s="63"/>
    </row>
    <row r="163" spans="1:7" ht="15.75">
      <c r="A163" s="5" t="s">
        <v>139</v>
      </c>
      <c r="B163" s="8"/>
      <c r="C163" s="8"/>
      <c r="D163" s="22">
        <f>D164+D167+D166</f>
        <v>1460637</v>
      </c>
      <c r="E163" s="22">
        <f>E164+E167+E166+E165+E168</f>
        <v>2325557</v>
      </c>
      <c r="F163" s="23">
        <f>F164+F167+F166+F165+F168</f>
        <v>2325557</v>
      </c>
      <c r="G163" s="20"/>
    </row>
    <row r="164" spans="1:10" s="34" customFormat="1" ht="15.75">
      <c r="A164" s="77">
        <v>5222.29</v>
      </c>
      <c r="B164" s="8" t="s">
        <v>139</v>
      </c>
      <c r="C164" s="25"/>
      <c r="D164" s="20">
        <v>250000</v>
      </c>
      <c r="E164" s="20">
        <f>174756+85605</f>
        <v>260361</v>
      </c>
      <c r="F164" s="37">
        <f>E164</f>
        <v>260361</v>
      </c>
      <c r="J164" s="63"/>
    </row>
    <row r="165" spans="1:10" s="34" customFormat="1" ht="15.75">
      <c r="A165" s="77">
        <v>5321</v>
      </c>
      <c r="B165" s="8" t="s">
        <v>140</v>
      </c>
      <c r="C165" s="25"/>
      <c r="D165" s="20"/>
      <c r="E165" s="20"/>
      <c r="F165" s="37">
        <f>E165</f>
        <v>0</v>
      </c>
      <c r="J165" s="63"/>
    </row>
    <row r="166" spans="1:10" s="34" customFormat="1" ht="15.75">
      <c r="A166" s="77">
        <v>5329</v>
      </c>
      <c r="B166" s="8" t="s">
        <v>141</v>
      </c>
      <c r="C166" s="25"/>
      <c r="D166" s="20">
        <v>10637</v>
      </c>
      <c r="E166" s="20">
        <v>10826</v>
      </c>
      <c r="F166" s="37">
        <f>E166</f>
        <v>10826</v>
      </c>
      <c r="J166" s="63"/>
    </row>
    <row r="167" spans="1:10" s="34" customFormat="1" ht="15.75">
      <c r="A167" s="77">
        <v>5331</v>
      </c>
      <c r="B167" s="8" t="s">
        <v>243</v>
      </c>
      <c r="C167" s="25"/>
      <c r="D167" s="20">
        <v>1200000</v>
      </c>
      <c r="E167" s="20">
        <f>35761+1225900</f>
        <v>1261661</v>
      </c>
      <c r="F167" s="37">
        <f>E167</f>
        <v>1261661</v>
      </c>
      <c r="J167" s="63"/>
    </row>
    <row r="168" spans="1:10" s="34" customFormat="1" ht="15.75">
      <c r="A168" s="77">
        <v>5336</v>
      </c>
      <c r="B168" s="8" t="s">
        <v>242</v>
      </c>
      <c r="C168" s="25"/>
      <c r="D168" s="25"/>
      <c r="E168" s="20">
        <v>792709</v>
      </c>
      <c r="F168" s="37">
        <f>E168</f>
        <v>792709</v>
      </c>
      <c r="J168" s="63"/>
    </row>
    <row r="169" spans="1:10" s="83" customFormat="1" ht="15.75">
      <c r="A169" s="39" t="s">
        <v>142</v>
      </c>
      <c r="B169" s="39"/>
      <c r="C169" s="39"/>
      <c r="D169" s="39"/>
      <c r="F169" s="41">
        <f>F163+F133+F129</f>
        <v>11317261.209999999</v>
      </c>
      <c r="G169" s="84">
        <f>F169-F43</f>
        <v>0</v>
      </c>
      <c r="H169" s="28"/>
      <c r="I169" s="28"/>
      <c r="J169" s="137"/>
    </row>
    <row r="170" spans="7:10" s="34" customFormat="1" ht="12.75">
      <c r="G170" s="85" t="s">
        <v>143</v>
      </c>
      <c r="J170" s="63"/>
    </row>
    <row r="171" spans="1:10" s="34" customFormat="1" ht="15.75">
      <c r="A171" s="13" t="s">
        <v>144</v>
      </c>
      <c r="B171" s="14"/>
      <c r="C171" s="14"/>
      <c r="D171" s="14"/>
      <c r="E171" s="86"/>
      <c r="F171" s="14"/>
      <c r="G171" s="85"/>
      <c r="J171" s="63"/>
    </row>
    <row r="172" spans="1:7" ht="15.75">
      <c r="A172" s="44"/>
      <c r="B172" s="45"/>
      <c r="C172" s="17"/>
      <c r="D172" s="17" t="s">
        <v>40</v>
      </c>
      <c r="E172" s="17" t="s">
        <v>41</v>
      </c>
      <c r="F172" s="18" t="s">
        <v>42</v>
      </c>
      <c r="G172" s="42"/>
    </row>
    <row r="173" spans="1:10" s="34" customFormat="1" ht="15.75">
      <c r="A173" s="77">
        <v>6121</v>
      </c>
      <c r="B173" s="8" t="s">
        <v>145</v>
      </c>
      <c r="C173" s="8"/>
      <c r="D173" s="20">
        <f>1500000+10500000</f>
        <v>12000000</v>
      </c>
      <c r="E173" s="20">
        <f>15309.56+39083+4718868.66</f>
        <v>4773261.22</v>
      </c>
      <c r="F173" s="37">
        <f>E173</f>
        <v>4773261.22</v>
      </c>
      <c r="G173" s="85"/>
      <c r="J173" s="63"/>
    </row>
    <row r="174" spans="1:10" s="34" customFormat="1" ht="15.75">
      <c r="A174" s="77">
        <v>6122</v>
      </c>
      <c r="B174" s="8" t="s">
        <v>146</v>
      </c>
      <c r="C174" s="8"/>
      <c r="D174" s="20"/>
      <c r="E174" s="20">
        <v>293709</v>
      </c>
      <c r="F174" s="37">
        <f>E174</f>
        <v>293709</v>
      </c>
      <c r="G174" s="85"/>
      <c r="J174" s="63"/>
    </row>
    <row r="175" spans="1:10" s="34" customFormat="1" ht="15.75">
      <c r="A175" s="77">
        <v>6130</v>
      </c>
      <c r="B175" s="8" t="s">
        <v>147</v>
      </c>
      <c r="C175" s="8"/>
      <c r="D175" s="20">
        <v>10000</v>
      </c>
      <c r="E175" s="20">
        <v>3746299</v>
      </c>
      <c r="F175" s="37">
        <f>E175</f>
        <v>3746299</v>
      </c>
      <c r="G175" s="85"/>
      <c r="J175" s="63"/>
    </row>
    <row r="176" spans="1:10" s="29" customFormat="1" ht="15.75">
      <c r="A176" s="39" t="s">
        <v>148</v>
      </c>
      <c r="B176" s="39"/>
      <c r="C176" s="39"/>
      <c r="D176" s="40">
        <f>SUM(D173:D174)</f>
        <v>12000000</v>
      </c>
      <c r="E176" s="40">
        <f>SUM(E173:E175)</f>
        <v>8813269.219999999</v>
      </c>
      <c r="F176" s="41">
        <f>F173+F174+F175</f>
        <v>8813269.219999999</v>
      </c>
      <c r="G176" s="87">
        <f>E176-F44</f>
        <v>0</v>
      </c>
      <c r="J176" s="20"/>
    </row>
    <row r="177" spans="1:10" s="29" customFormat="1" ht="15.75">
      <c r="A177" s="75"/>
      <c r="B177" s="75"/>
      <c r="C177" s="75"/>
      <c r="D177" s="75"/>
      <c r="E177" s="88"/>
      <c r="F177" s="59"/>
      <c r="J177" s="20"/>
    </row>
    <row r="178" spans="1:10" s="29" customFormat="1" ht="15.75">
      <c r="A178" s="54" t="s">
        <v>149</v>
      </c>
      <c r="B178" s="54"/>
      <c r="C178" s="54"/>
      <c r="D178" s="54"/>
      <c r="E178" s="55"/>
      <c r="F178" s="89"/>
      <c r="J178" s="20"/>
    </row>
    <row r="179" spans="1:10" s="34" customFormat="1" ht="15.75">
      <c r="A179" s="30"/>
      <c r="B179" s="31"/>
      <c r="C179" s="74"/>
      <c r="D179" s="17" t="s">
        <v>40</v>
      </c>
      <c r="E179" s="17" t="s">
        <v>41</v>
      </c>
      <c r="F179" s="18" t="s">
        <v>42</v>
      </c>
      <c r="J179" s="63"/>
    </row>
    <row r="180" spans="1:10" s="34" customFormat="1" ht="15.75" customHeight="1">
      <c r="A180" s="77">
        <v>8115</v>
      </c>
      <c r="B180" s="200" t="s">
        <v>52</v>
      </c>
      <c r="C180" s="200"/>
      <c r="D180" s="20">
        <v>3732217</v>
      </c>
      <c r="E180" s="20">
        <v>-4991733.75</v>
      </c>
      <c r="F180" s="37">
        <v>-5288480.3</v>
      </c>
      <c r="J180" s="63"/>
    </row>
    <row r="181" spans="1:10" s="34" customFormat="1" ht="15" customHeight="1">
      <c r="A181" s="77">
        <v>8124</v>
      </c>
      <c r="B181" s="201" t="s">
        <v>150</v>
      </c>
      <c r="C181" s="201"/>
      <c r="D181" s="25"/>
      <c r="E181" s="25"/>
      <c r="F181" s="37"/>
      <c r="J181" s="63"/>
    </row>
    <row r="182" spans="1:10" s="34" customFormat="1" ht="15.75" customHeight="1">
      <c r="A182" s="77">
        <v>8901</v>
      </c>
      <c r="B182" s="197" t="s">
        <v>151</v>
      </c>
      <c r="C182" s="197"/>
      <c r="D182" s="25"/>
      <c r="E182" s="25"/>
      <c r="F182" s="37">
        <v>231734.65</v>
      </c>
      <c r="J182" s="63"/>
    </row>
    <row r="183" spans="1:10" s="34" customFormat="1" ht="15.75">
      <c r="A183" s="39" t="s">
        <v>55</v>
      </c>
      <c r="B183" s="39"/>
      <c r="C183" s="48"/>
      <c r="D183" s="48"/>
      <c r="E183" s="48"/>
      <c r="F183" s="41">
        <f>SUM(F180:F182)</f>
        <v>-5056745.649999999</v>
      </c>
      <c r="J183" s="63"/>
    </row>
    <row r="184" spans="1:10" s="34" customFormat="1" ht="15">
      <c r="A184" s="59"/>
      <c r="B184" s="59"/>
      <c r="C184" s="60"/>
      <c r="D184" s="60"/>
      <c r="E184" s="60"/>
      <c r="F184" s="52"/>
      <c r="J184" s="63"/>
    </row>
    <row r="185" spans="1:10" s="34" customFormat="1" ht="15">
      <c r="A185" s="59"/>
      <c r="B185" s="59"/>
      <c r="C185" s="60"/>
      <c r="D185" s="60"/>
      <c r="E185" s="60"/>
      <c r="F185" s="52"/>
      <c r="J185" s="63"/>
    </row>
    <row r="186" spans="1:10" s="34" customFormat="1" ht="15.75">
      <c r="A186" s="54" t="s">
        <v>152</v>
      </c>
      <c r="B186" s="54"/>
      <c r="C186" s="55"/>
      <c r="D186" s="55"/>
      <c r="E186" s="55"/>
      <c r="F186" s="61"/>
      <c r="J186" s="63"/>
    </row>
    <row r="187" spans="1:10" s="93" customFormat="1" ht="15.75">
      <c r="A187" s="90"/>
      <c r="B187" s="90"/>
      <c r="C187" s="91"/>
      <c r="D187" s="92" t="s">
        <v>245</v>
      </c>
      <c r="F187" s="94" t="s">
        <v>246</v>
      </c>
      <c r="J187" s="138"/>
    </row>
    <row r="188" spans="1:10" s="8" customFormat="1" ht="15.75">
      <c r="A188" s="50" t="s">
        <v>153</v>
      </c>
      <c r="B188" s="50"/>
      <c r="C188" s="78"/>
      <c r="D188" s="20">
        <v>4251402.56</v>
      </c>
      <c r="F188" s="37">
        <v>9684433.45</v>
      </c>
      <c r="J188" s="25"/>
    </row>
    <row r="189" spans="1:10" s="8" customFormat="1" ht="12.75" customHeight="1">
      <c r="A189" s="50" t="s">
        <v>154</v>
      </c>
      <c r="B189" s="50"/>
      <c r="C189" s="78"/>
      <c r="D189" s="20">
        <v>516855.21</v>
      </c>
      <c r="E189" s="31"/>
      <c r="F189" s="37">
        <v>372304.62</v>
      </c>
      <c r="J189" s="25"/>
    </row>
    <row r="190" spans="1:10" s="5" customFormat="1" ht="15.75">
      <c r="A190" s="39" t="s">
        <v>155</v>
      </c>
      <c r="B190" s="39"/>
      <c r="C190" s="39"/>
      <c r="D190" s="40">
        <f>SUM(D188:D189)</f>
        <v>4768257.77</v>
      </c>
      <c r="F190" s="41">
        <f>F188+F189</f>
        <v>10056738.069999998</v>
      </c>
      <c r="J190" s="25"/>
    </row>
    <row r="191" s="34" customFormat="1" ht="12.75">
      <c r="J191" s="63"/>
    </row>
    <row r="192" spans="1:6" ht="30.75" customHeight="1">
      <c r="A192" s="196" t="s">
        <v>248</v>
      </c>
      <c r="B192" s="196"/>
      <c r="C192" s="196"/>
      <c r="D192" s="196"/>
      <c r="E192" s="196"/>
      <c r="F192" s="196"/>
    </row>
    <row r="193" spans="1:6" ht="29.25" customHeight="1">
      <c r="A193" s="95"/>
      <c r="B193" s="95"/>
      <c r="C193" s="95"/>
      <c r="D193" s="95"/>
      <c r="E193" s="95"/>
      <c r="F193" s="95"/>
    </row>
    <row r="194" ht="18.75">
      <c r="A194" s="11" t="s">
        <v>247</v>
      </c>
    </row>
    <row r="195" ht="8.25" customHeight="1">
      <c r="A195" s="11"/>
    </row>
    <row r="196" spans="1:10" s="8" customFormat="1" ht="18" customHeight="1">
      <c r="A196" s="13" t="s">
        <v>156</v>
      </c>
      <c r="B196" s="14"/>
      <c r="C196" s="14"/>
      <c r="D196" s="14"/>
      <c r="E196" s="14"/>
      <c r="F196" s="14"/>
      <c r="J196" s="25"/>
    </row>
    <row r="197" spans="1:6" ht="12.75" customHeight="1">
      <c r="A197" s="96"/>
      <c r="B197" s="45"/>
      <c r="C197" s="97" t="s">
        <v>157</v>
      </c>
      <c r="D197" s="98" t="s">
        <v>158</v>
      </c>
      <c r="E197" s="98" t="s">
        <v>159</v>
      </c>
      <c r="F197" s="74" t="s">
        <v>160</v>
      </c>
    </row>
    <row r="198" spans="1:10" s="29" customFormat="1" ht="15.75" customHeight="1">
      <c r="A198" s="99" t="s">
        <v>161</v>
      </c>
      <c r="C198" s="100">
        <f>C200+C201</f>
        <v>0</v>
      </c>
      <c r="D198" s="100">
        <f>D200+D201+D199</f>
        <v>745171</v>
      </c>
      <c r="E198" s="100">
        <f>E200+E201+E199</f>
        <v>480418</v>
      </c>
      <c r="F198" s="27">
        <f>F200</f>
        <v>264753</v>
      </c>
      <c r="J198" s="20"/>
    </row>
    <row r="199" spans="1:6" ht="15.75" customHeight="1">
      <c r="A199" s="101" t="s">
        <v>162</v>
      </c>
      <c r="C199" s="102"/>
      <c r="D199" s="20">
        <v>229371</v>
      </c>
      <c r="E199" s="20">
        <v>229371</v>
      </c>
      <c r="F199" s="25">
        <v>0</v>
      </c>
    </row>
    <row r="200" spans="1:6" ht="15.75" customHeight="1">
      <c r="A200" s="101" t="s">
        <v>163</v>
      </c>
      <c r="C200" s="102"/>
      <c r="D200" s="20">
        <v>515800</v>
      </c>
      <c r="E200" s="20">
        <v>251047</v>
      </c>
      <c r="F200" s="25">
        <f>D200-E200</f>
        <v>264753</v>
      </c>
    </row>
    <row r="201" spans="1:6" ht="15.75" customHeight="1">
      <c r="A201" s="101" t="s">
        <v>164</v>
      </c>
      <c r="C201" s="102"/>
      <c r="D201" s="20"/>
      <c r="E201" s="20"/>
      <c r="F201" s="25"/>
    </row>
    <row r="202" spans="1:6" ht="15.75" customHeight="1">
      <c r="A202" s="99" t="s">
        <v>165</v>
      </c>
      <c r="C202" s="27">
        <f>C203+C204+C205+C206+C209</f>
        <v>0</v>
      </c>
      <c r="D202" s="27">
        <f>D203+D204+D205+D206+D209</f>
        <v>173717894.65999997</v>
      </c>
      <c r="E202" s="27">
        <f>E203+E204+E205+E206+E209+E207</f>
        <v>40525411.88</v>
      </c>
      <c r="F202" s="27">
        <f>F203+F204+F205+F206+F209</f>
        <v>135521288.88</v>
      </c>
    </row>
    <row r="203" spans="1:6" ht="15.75" customHeight="1">
      <c r="A203" s="101" t="s">
        <v>166</v>
      </c>
      <c r="C203" s="102"/>
      <c r="D203" s="20">
        <v>19969720.13</v>
      </c>
      <c r="E203" s="20"/>
      <c r="F203" s="25">
        <f>D203-E203</f>
        <v>19969720.13</v>
      </c>
    </row>
    <row r="204" spans="1:6" ht="15.75" customHeight="1">
      <c r="A204" s="101" t="s">
        <v>167</v>
      </c>
      <c r="C204" s="102"/>
      <c r="D204" s="102">
        <v>298689</v>
      </c>
      <c r="E204" s="20"/>
      <c r="F204" s="25">
        <f aca="true" t="shared" si="3" ref="F204:F209">D204-E204</f>
        <v>298689</v>
      </c>
    </row>
    <row r="205" spans="1:6" ht="15.75" customHeight="1">
      <c r="A205" s="101" t="s">
        <v>168</v>
      </c>
      <c r="C205" s="20"/>
      <c r="D205" s="102">
        <v>137902254.92</v>
      </c>
      <c r="E205" s="20">
        <v>36033134.93</v>
      </c>
      <c r="F205" s="25">
        <f t="shared" si="3"/>
        <v>101869119.98999998</v>
      </c>
    </row>
    <row r="206" spans="1:6" ht="15.75" customHeight="1">
      <c r="A206" s="101" t="s">
        <v>169</v>
      </c>
      <c r="C206" s="20"/>
      <c r="D206" s="102">
        <v>6938556.5</v>
      </c>
      <c r="E206" s="20">
        <v>2163470.85</v>
      </c>
      <c r="F206" s="25">
        <f t="shared" si="3"/>
        <v>4775085.65</v>
      </c>
    </row>
    <row r="207" spans="1:6" ht="15.75" customHeight="1">
      <c r="A207" s="101" t="s">
        <v>170</v>
      </c>
      <c r="D207" s="102">
        <v>2328806.1</v>
      </c>
      <c r="E207" s="20">
        <v>2328806.1</v>
      </c>
      <c r="F207" s="25">
        <f t="shared" si="3"/>
        <v>0</v>
      </c>
    </row>
    <row r="208" spans="1:6" ht="15.75" customHeight="1">
      <c r="A208" s="101" t="s">
        <v>171</v>
      </c>
      <c r="D208" s="102">
        <v>1905169.93</v>
      </c>
      <c r="E208" s="20">
        <v>48908</v>
      </c>
      <c r="F208" s="25">
        <f t="shared" si="3"/>
        <v>1856261.93</v>
      </c>
    </row>
    <row r="209" spans="1:6" ht="15.75" customHeight="1">
      <c r="A209" s="101" t="s">
        <v>172</v>
      </c>
      <c r="C209" s="102"/>
      <c r="D209" s="20">
        <v>8608674.11</v>
      </c>
      <c r="E209" s="20"/>
      <c r="F209" s="25">
        <f t="shared" si="3"/>
        <v>8608674.11</v>
      </c>
    </row>
    <row r="210" spans="1:6" ht="15.75" customHeight="1">
      <c r="A210" s="99" t="s">
        <v>173</v>
      </c>
      <c r="C210" s="100">
        <f>C211</f>
        <v>0</v>
      </c>
      <c r="D210" s="20"/>
      <c r="E210" s="20"/>
      <c r="F210" s="27">
        <f>F211</f>
        <v>65000</v>
      </c>
    </row>
    <row r="211" spans="1:6" ht="15.75" customHeight="1">
      <c r="A211" s="101" t="s">
        <v>174</v>
      </c>
      <c r="C211" s="20"/>
      <c r="D211" s="20">
        <v>65000</v>
      </c>
      <c r="E211" s="20"/>
      <c r="F211" s="25">
        <f>D211</f>
        <v>65000</v>
      </c>
    </row>
    <row r="212" spans="1:6" ht="12.75" customHeight="1">
      <c r="A212" s="101"/>
      <c r="C212" s="69"/>
      <c r="D212" s="20"/>
      <c r="E212" s="20"/>
      <c r="F212" s="20"/>
    </row>
    <row r="213" spans="1:6" ht="15.75" customHeight="1">
      <c r="A213" s="54" t="s">
        <v>175</v>
      </c>
      <c r="B213" s="103"/>
      <c r="C213" s="104"/>
      <c r="D213" s="105"/>
      <c r="E213" s="105"/>
      <c r="F213" s="105"/>
    </row>
    <row r="214" spans="1:6" ht="12.75" customHeight="1">
      <c r="A214" s="96"/>
      <c r="B214" s="45"/>
      <c r="C214" s="97" t="s">
        <v>157</v>
      </c>
      <c r="D214" s="98" t="s">
        <v>158</v>
      </c>
      <c r="E214" s="98" t="s">
        <v>159</v>
      </c>
      <c r="F214" s="74" t="s">
        <v>160</v>
      </c>
    </row>
    <row r="215" spans="1:6" ht="15.75" customHeight="1">
      <c r="A215" s="99" t="s">
        <v>176</v>
      </c>
      <c r="C215" s="22">
        <f>C216</f>
        <v>0</v>
      </c>
      <c r="D215" s="22">
        <f>D216</f>
        <v>1245558</v>
      </c>
      <c r="E215" s="20"/>
      <c r="F215" s="27">
        <f>F216</f>
        <v>1245558</v>
      </c>
    </row>
    <row r="216" spans="1:6" ht="15.75" customHeight="1">
      <c r="A216" s="101" t="s">
        <v>177</v>
      </c>
      <c r="C216" s="20"/>
      <c r="D216" s="20">
        <v>1245558</v>
      </c>
      <c r="E216" s="20"/>
      <c r="F216" s="25">
        <f>D216</f>
        <v>1245558</v>
      </c>
    </row>
    <row r="217" spans="1:6" ht="15.75" customHeight="1">
      <c r="A217" s="99" t="s">
        <v>178</v>
      </c>
      <c r="C217" s="22">
        <f>C218+C219+C222</f>
        <v>0</v>
      </c>
      <c r="D217" s="22">
        <f>D218+D219+D222</f>
        <v>1235374.65</v>
      </c>
      <c r="E217" s="20"/>
      <c r="F217" s="27">
        <f>F218+F219+F222+F220+F221</f>
        <v>1327904.77</v>
      </c>
    </row>
    <row r="218" spans="1:6" ht="15.75" customHeight="1">
      <c r="A218" s="101" t="s">
        <v>179</v>
      </c>
      <c r="C218" s="20"/>
      <c r="D218" s="20">
        <v>652158</v>
      </c>
      <c r="E218" s="20">
        <v>21584</v>
      </c>
      <c r="F218" s="25">
        <f>D218-E218</f>
        <v>630574</v>
      </c>
    </row>
    <row r="219" spans="1:6" ht="15.75" customHeight="1">
      <c r="A219" s="101" t="s">
        <v>180</v>
      </c>
      <c r="C219" s="20"/>
      <c r="D219" s="20">
        <v>33052</v>
      </c>
      <c r="E219" s="20">
        <v>25499.88</v>
      </c>
      <c r="F219" s="25">
        <f>D219-E219</f>
        <v>7552.119999999999</v>
      </c>
    </row>
    <row r="220" spans="1:6" ht="15.75" customHeight="1">
      <c r="A220" s="101" t="s">
        <v>181</v>
      </c>
      <c r="C220" s="20"/>
      <c r="D220" s="20">
        <v>6000</v>
      </c>
      <c r="E220" s="20"/>
      <c r="F220" s="25">
        <f>D220-E220</f>
        <v>6000</v>
      </c>
    </row>
    <row r="221" spans="1:6" ht="15.75" customHeight="1">
      <c r="A221" s="101" t="s">
        <v>182</v>
      </c>
      <c r="C221" s="20"/>
      <c r="D221" s="20">
        <v>133614</v>
      </c>
      <c r="E221" s="20"/>
      <c r="F221" s="25">
        <f>D221</f>
        <v>133614</v>
      </c>
    </row>
    <row r="222" spans="1:6" ht="15.75" customHeight="1">
      <c r="A222" s="99" t="s">
        <v>249</v>
      </c>
      <c r="C222" s="20"/>
      <c r="D222" s="20">
        <v>550164.65</v>
      </c>
      <c r="E222" s="20"/>
      <c r="F222" s="25">
        <f>D222</f>
        <v>550164.65</v>
      </c>
    </row>
    <row r="223" spans="1:6" ht="15.75" customHeight="1">
      <c r="A223" s="99" t="s">
        <v>183</v>
      </c>
      <c r="C223" s="22">
        <f>C224+C225+C226+C227</f>
        <v>0</v>
      </c>
      <c r="D223" s="22">
        <f>D224+D225+D226+D227</f>
        <v>10056868.069999998</v>
      </c>
      <c r="E223" s="20"/>
      <c r="F223" s="27">
        <f>F224+F225+F226+F227</f>
        <v>10056868.069999998</v>
      </c>
    </row>
    <row r="224" spans="1:6" ht="15.75" customHeight="1">
      <c r="A224" s="101" t="s">
        <v>184</v>
      </c>
      <c r="C224" s="20"/>
      <c r="D224" s="20"/>
      <c r="E224" s="20"/>
      <c r="F224" s="25"/>
    </row>
    <row r="225" spans="1:6" ht="15.75" customHeight="1">
      <c r="A225" s="101" t="s">
        <v>185</v>
      </c>
      <c r="C225" s="20"/>
      <c r="D225" s="20">
        <v>9684433.45</v>
      </c>
      <c r="E225" s="20"/>
      <c r="F225" s="25">
        <f>D225</f>
        <v>9684433.45</v>
      </c>
    </row>
    <row r="226" spans="1:6" ht="15.75" customHeight="1">
      <c r="A226" s="101" t="s">
        <v>186</v>
      </c>
      <c r="C226" s="20"/>
      <c r="D226" s="20">
        <v>372304.62</v>
      </c>
      <c r="E226" s="20"/>
      <c r="F226" s="25">
        <f>D226</f>
        <v>372304.62</v>
      </c>
    </row>
    <row r="227" spans="1:6" ht="15.75" customHeight="1">
      <c r="A227" s="101" t="s">
        <v>187</v>
      </c>
      <c r="C227" s="20"/>
      <c r="D227" s="20">
        <v>130</v>
      </c>
      <c r="E227" s="20"/>
      <c r="F227" s="25">
        <f>D227</f>
        <v>130</v>
      </c>
    </row>
    <row r="228" spans="1:6" ht="12.75" customHeight="1">
      <c r="A228" s="101"/>
      <c r="C228" s="69"/>
      <c r="D228" s="102"/>
      <c r="E228" s="20"/>
      <c r="F228" s="20"/>
    </row>
    <row r="229" spans="1:6" ht="15.75" customHeight="1">
      <c r="A229" s="54" t="s">
        <v>188</v>
      </c>
      <c r="B229" s="103"/>
      <c r="C229" s="104"/>
      <c r="D229" s="106"/>
      <c r="E229" s="105"/>
      <c r="F229" s="105"/>
    </row>
    <row r="230" spans="1:6" ht="12.75" customHeight="1">
      <c r="A230" s="96"/>
      <c r="B230" s="45"/>
      <c r="C230" s="107"/>
      <c r="D230" s="97" t="s">
        <v>157</v>
      </c>
      <c r="E230" s="98"/>
      <c r="F230" s="74" t="s">
        <v>246</v>
      </c>
    </row>
    <row r="231" spans="1:10" s="36" customFormat="1" ht="15.75" customHeight="1">
      <c r="A231" s="108" t="s">
        <v>189</v>
      </c>
      <c r="B231" s="109"/>
      <c r="C231" s="110"/>
      <c r="D231" s="111">
        <f>D232+D233+D234+D235</f>
        <v>111236631.61</v>
      </c>
      <c r="E231" s="112"/>
      <c r="F231" s="113">
        <f>F232+F233+F234+F235</f>
        <v>114207966.17</v>
      </c>
      <c r="J231" s="139"/>
    </row>
    <row r="232" spans="1:6" ht="15.75" customHeight="1">
      <c r="A232" s="101" t="s">
        <v>190</v>
      </c>
      <c r="C232" s="69"/>
      <c r="D232" s="20">
        <v>117666883.77</v>
      </c>
      <c r="E232" s="20"/>
      <c r="F232" s="25">
        <v>120884145.72</v>
      </c>
    </row>
    <row r="233" spans="1:6" ht="15.75" customHeight="1">
      <c r="A233" s="101" t="s">
        <v>191</v>
      </c>
      <c r="C233" s="69"/>
      <c r="D233" s="20">
        <v>24590156.19</v>
      </c>
      <c r="E233" s="20"/>
      <c r="F233" s="20">
        <v>24344228.8</v>
      </c>
    </row>
    <row r="234" spans="1:6" ht="15.75" customHeight="1">
      <c r="A234" s="101" t="s">
        <v>192</v>
      </c>
      <c r="C234" s="69"/>
      <c r="D234" s="20">
        <v>-31020407.9</v>
      </c>
      <c r="E234" s="20"/>
      <c r="F234" s="25">
        <f>D234</f>
        <v>-31020407.9</v>
      </c>
    </row>
    <row r="235" spans="1:6" ht="15.75" customHeight="1">
      <c r="A235" s="101" t="s">
        <v>193</v>
      </c>
      <c r="C235" s="69"/>
      <c r="D235" s="20">
        <v>-0.45</v>
      </c>
      <c r="E235" s="20"/>
      <c r="F235" s="25">
        <v>-0.45</v>
      </c>
    </row>
    <row r="236" spans="1:6" ht="15.75" customHeight="1">
      <c r="A236" s="99" t="s">
        <v>194</v>
      </c>
      <c r="C236" s="69"/>
      <c r="D236" s="22">
        <f>D237</f>
        <v>919998.79</v>
      </c>
      <c r="E236" s="20"/>
      <c r="F236" s="27">
        <f>F237</f>
        <v>922469.27</v>
      </c>
    </row>
    <row r="237" spans="1:6" ht="15.75" customHeight="1">
      <c r="A237" s="101" t="s">
        <v>195</v>
      </c>
      <c r="C237" s="69"/>
      <c r="D237" s="20">
        <v>919998.79</v>
      </c>
      <c r="E237" s="20"/>
      <c r="F237" s="25">
        <v>922469.27</v>
      </c>
    </row>
    <row r="238" spans="1:6" ht="20.25" customHeight="1">
      <c r="A238" s="198" t="s">
        <v>196</v>
      </c>
      <c r="B238" s="198"/>
      <c r="C238" s="198"/>
      <c r="D238" s="198"/>
      <c r="E238" s="198"/>
      <c r="F238" s="198"/>
    </row>
    <row r="239" spans="1:6" ht="18.75" customHeight="1">
      <c r="A239" s="114"/>
      <c r="B239" s="114"/>
      <c r="C239" s="114"/>
      <c r="D239" s="114"/>
      <c r="E239" s="114"/>
      <c r="F239" s="114"/>
    </row>
    <row r="240" spans="1:6" ht="12.75" customHeight="1">
      <c r="A240" s="115"/>
      <c r="B240" s="115"/>
      <c r="C240" s="115"/>
      <c r="D240" s="97" t="s">
        <v>157</v>
      </c>
      <c r="E240" s="98"/>
      <c r="F240" s="74" t="s">
        <v>246</v>
      </c>
    </row>
    <row r="241" spans="1:10" s="29" customFormat="1" ht="15.75" customHeight="1">
      <c r="A241" s="99" t="s">
        <v>197</v>
      </c>
      <c r="C241" s="116"/>
      <c r="D241" s="22">
        <f>D242+D243</f>
        <v>24689728.7</v>
      </c>
      <c r="E241" s="22"/>
      <c r="F241" s="27">
        <f>F242+F243</f>
        <v>32434180.99</v>
      </c>
      <c r="J241" s="20"/>
    </row>
    <row r="242" spans="1:6" ht="15.75" customHeight="1">
      <c r="A242" s="101" t="s">
        <v>198</v>
      </c>
      <c r="C242" s="69"/>
      <c r="D242" s="20">
        <v>4903757.97</v>
      </c>
      <c r="E242" s="20"/>
      <c r="F242" s="25">
        <v>7744452.29</v>
      </c>
    </row>
    <row r="243" spans="1:6" ht="15.75" customHeight="1">
      <c r="A243" s="101" t="s">
        <v>199</v>
      </c>
      <c r="C243" s="69"/>
      <c r="D243" s="20">
        <v>19785970.73</v>
      </c>
      <c r="E243" s="20"/>
      <c r="F243" s="25">
        <v>24689728.7</v>
      </c>
    </row>
    <row r="244" spans="1:6" ht="12.75" customHeight="1">
      <c r="A244" s="101"/>
      <c r="C244" s="69"/>
      <c r="D244" s="63"/>
      <c r="E244" s="20"/>
      <c r="F244" s="63"/>
    </row>
    <row r="245" spans="1:6" ht="15.75" customHeight="1">
      <c r="A245" s="54" t="s">
        <v>200</v>
      </c>
      <c r="B245" s="103"/>
      <c r="C245" s="104"/>
      <c r="D245" s="117"/>
      <c r="E245" s="105"/>
      <c r="F245" s="117"/>
    </row>
    <row r="246" spans="1:6" ht="15.75" customHeight="1">
      <c r="A246" s="118"/>
      <c r="B246" s="119"/>
      <c r="C246" s="120"/>
      <c r="D246" s="121" t="s">
        <v>157</v>
      </c>
      <c r="E246" s="122"/>
      <c r="F246" s="74" t="s">
        <v>246</v>
      </c>
    </row>
    <row r="247" spans="1:6" ht="15.75" customHeight="1">
      <c r="A247" s="59" t="s">
        <v>201</v>
      </c>
      <c r="C247" s="69"/>
      <c r="D247" s="22">
        <f>D248</f>
        <v>0</v>
      </c>
      <c r="E247" s="20"/>
      <c r="F247" s="27">
        <f>F248</f>
        <v>70000</v>
      </c>
    </row>
    <row r="248" spans="1:6" ht="15.75" customHeight="1">
      <c r="A248" s="101" t="s">
        <v>250</v>
      </c>
      <c r="C248" s="69"/>
      <c r="D248" s="20"/>
      <c r="E248" s="20"/>
      <c r="F248" s="25">
        <v>70000</v>
      </c>
    </row>
    <row r="249" spans="1:6" ht="15.75" customHeight="1">
      <c r="A249" s="99" t="s">
        <v>202</v>
      </c>
      <c r="C249" s="69"/>
      <c r="D249" s="22">
        <f>D252+D253+D255+D256+D260+D259+D261+D250</f>
        <v>1137490.77</v>
      </c>
      <c r="E249" s="20"/>
      <c r="F249" s="27">
        <f>SUM(F250:F261)</f>
        <v>2704496.16</v>
      </c>
    </row>
    <row r="250" spans="1:6" ht="15.75" customHeight="1">
      <c r="A250" s="101" t="s">
        <v>203</v>
      </c>
      <c r="C250" s="69"/>
      <c r="D250" s="20">
        <v>70750</v>
      </c>
      <c r="E250" s="20"/>
      <c r="F250" s="25">
        <v>725</v>
      </c>
    </row>
    <row r="251" spans="1:6" ht="15.75" customHeight="1">
      <c r="A251" s="101" t="s">
        <v>204</v>
      </c>
      <c r="C251" s="69"/>
      <c r="D251" s="20"/>
      <c r="E251" s="20"/>
      <c r="F251" s="25">
        <v>1375049.94</v>
      </c>
    </row>
    <row r="252" spans="1:6" ht="15.75" customHeight="1">
      <c r="A252" s="101" t="s">
        <v>205</v>
      </c>
      <c r="C252" s="69"/>
      <c r="D252" s="20">
        <v>169325</v>
      </c>
      <c r="E252" s="20"/>
      <c r="F252" s="25">
        <v>163803</v>
      </c>
    </row>
    <row r="253" spans="1:6" ht="15.75" customHeight="1">
      <c r="A253" s="101" t="s">
        <v>206</v>
      </c>
      <c r="C253" s="69"/>
      <c r="D253" s="20">
        <v>47264</v>
      </c>
      <c r="E253" s="20"/>
      <c r="F253" s="25">
        <v>52359</v>
      </c>
    </row>
    <row r="254" spans="1:6" ht="15.75" customHeight="1">
      <c r="A254" s="101" t="s">
        <v>207</v>
      </c>
      <c r="C254" s="69"/>
      <c r="D254" s="20">
        <v>23866</v>
      </c>
      <c r="E254" s="20"/>
      <c r="F254" s="25">
        <v>26077</v>
      </c>
    </row>
    <row r="255" spans="1:6" ht="15.75" customHeight="1">
      <c r="A255" s="101" t="s">
        <v>208</v>
      </c>
      <c r="C255" s="69"/>
      <c r="D255" s="20">
        <v>16201</v>
      </c>
      <c r="E255" s="20"/>
      <c r="F255" s="25">
        <v>90941</v>
      </c>
    </row>
    <row r="256" spans="1:6" ht="15.75" customHeight="1">
      <c r="A256" s="101" t="s">
        <v>209</v>
      </c>
      <c r="C256" s="69"/>
      <c r="D256" s="20">
        <v>151333.77</v>
      </c>
      <c r="E256" s="20"/>
      <c r="F256" s="25">
        <v>265313.22</v>
      </c>
    </row>
    <row r="257" spans="1:6" ht="15.75" customHeight="1">
      <c r="A257" s="101" t="s">
        <v>251</v>
      </c>
      <c r="C257" s="69"/>
      <c r="D257" s="20"/>
      <c r="E257" s="20"/>
      <c r="F257" s="25">
        <v>681</v>
      </c>
    </row>
    <row r="258" spans="1:6" ht="15.75" customHeight="1">
      <c r="A258" s="101" t="s">
        <v>252</v>
      </c>
      <c r="C258" s="69"/>
      <c r="D258" s="20"/>
      <c r="E258" s="20"/>
      <c r="F258" s="25">
        <v>40000</v>
      </c>
    </row>
    <row r="259" spans="1:6" ht="15.75" customHeight="1">
      <c r="A259" s="101" t="s">
        <v>210</v>
      </c>
      <c r="C259" s="69"/>
      <c r="D259" s="20">
        <v>58800</v>
      </c>
      <c r="E259" s="20"/>
      <c r="F259" s="25"/>
    </row>
    <row r="260" spans="1:6" ht="15.75" customHeight="1">
      <c r="A260" s="101" t="s">
        <v>211</v>
      </c>
      <c r="C260" s="69"/>
      <c r="D260" s="20">
        <v>2897</v>
      </c>
      <c r="E260" s="20"/>
      <c r="F260" s="25">
        <v>9547</v>
      </c>
    </row>
    <row r="261" spans="1:10" s="34" customFormat="1" ht="15.75" customHeight="1">
      <c r="A261" s="45" t="s">
        <v>212</v>
      </c>
      <c r="B261" s="56"/>
      <c r="C261" s="56"/>
      <c r="D261" s="73">
        <v>620920</v>
      </c>
      <c r="E261" s="56"/>
      <c r="F261" s="81">
        <v>680000</v>
      </c>
      <c r="G261" s="52"/>
      <c r="J261" s="63"/>
    </row>
    <row r="262" spans="1:10" s="34" customFormat="1" ht="12.75">
      <c r="A262" s="52"/>
      <c r="B262" s="52"/>
      <c r="C262" s="52"/>
      <c r="D262" s="52"/>
      <c r="E262" s="52"/>
      <c r="F262" s="53"/>
      <c r="G262" s="52"/>
      <c r="J262" s="63"/>
    </row>
    <row r="263" spans="1:10" s="34" customFormat="1" ht="42" customHeight="1">
      <c r="A263" s="193" t="s">
        <v>213</v>
      </c>
      <c r="B263" s="194"/>
      <c r="C263" s="194"/>
      <c r="D263" s="194"/>
      <c r="E263" s="194"/>
      <c r="F263" s="194"/>
      <c r="G263" s="52"/>
      <c r="J263" s="63"/>
    </row>
    <row r="264" spans="1:7" ht="15">
      <c r="A264" s="123"/>
      <c r="B264" s="123"/>
      <c r="C264" s="123"/>
      <c r="D264" s="123"/>
      <c r="E264" s="123"/>
      <c r="F264" s="123"/>
      <c r="G264" s="123"/>
    </row>
    <row r="265" ht="14.25" customHeight="1">
      <c r="A265" s="11" t="s">
        <v>214</v>
      </c>
    </row>
    <row r="266" ht="18.75">
      <c r="A266" s="124"/>
    </row>
    <row r="267" spans="1:7" ht="15.75">
      <c r="A267" s="33" t="s">
        <v>215</v>
      </c>
      <c r="B267" s="33"/>
      <c r="C267" s="33"/>
      <c r="D267" s="33"/>
      <c r="E267" s="33"/>
      <c r="F267" s="33"/>
      <c r="G267" s="33"/>
    </row>
    <row r="268" spans="1:7" ht="15.75">
      <c r="A268" s="33" t="s">
        <v>216</v>
      </c>
      <c r="B268" s="33"/>
      <c r="C268" s="33"/>
      <c r="D268" s="33"/>
      <c r="E268" s="33"/>
      <c r="F268" s="33"/>
      <c r="G268" s="33"/>
    </row>
    <row r="269" spans="1:7" ht="15.75">
      <c r="A269" s="33"/>
      <c r="B269" s="33"/>
      <c r="C269" s="33"/>
      <c r="D269" s="33"/>
      <c r="E269" s="33"/>
      <c r="F269" s="33"/>
      <c r="G269" s="33"/>
    </row>
    <row r="270" spans="1:6" ht="12.75" customHeight="1">
      <c r="A270" s="96"/>
      <c r="B270" s="45"/>
      <c r="C270" s="107"/>
      <c r="D270" s="97" t="s">
        <v>217</v>
      </c>
      <c r="E270" s="98" t="s">
        <v>218</v>
      </c>
      <c r="F270" s="18" t="s">
        <v>219</v>
      </c>
    </row>
    <row r="271" spans="1:10" s="29" customFormat="1" ht="15.75">
      <c r="A271" s="192" t="s">
        <v>220</v>
      </c>
      <c r="B271" s="192"/>
      <c r="C271" s="125"/>
      <c r="D271" s="25">
        <v>10625502.21</v>
      </c>
      <c r="E271" s="25">
        <v>184925.5</v>
      </c>
      <c r="F271" s="23">
        <f>D271+E271</f>
        <v>10810427.71</v>
      </c>
      <c r="J271" s="20"/>
    </row>
    <row r="272" spans="1:10" s="29" customFormat="1" ht="15.75">
      <c r="A272" s="126"/>
      <c r="B272" s="126"/>
      <c r="C272" s="125"/>
      <c r="D272" s="25"/>
      <c r="E272" s="25"/>
      <c r="F272" s="37"/>
      <c r="J272" s="20"/>
    </row>
    <row r="273" spans="1:10" s="29" customFormat="1" ht="15.75">
      <c r="A273" s="192" t="s">
        <v>221</v>
      </c>
      <c r="B273" s="192"/>
      <c r="C273" s="125"/>
      <c r="D273" s="25">
        <v>10852508.61</v>
      </c>
      <c r="E273" s="25">
        <v>209165</v>
      </c>
      <c r="F273" s="23">
        <f>D273+E273</f>
        <v>11061673.61</v>
      </c>
      <c r="J273" s="20"/>
    </row>
    <row r="274" spans="1:6" ht="15.75">
      <c r="A274" s="45"/>
      <c r="B274" s="45"/>
      <c r="C274" s="127"/>
      <c r="D274" s="81"/>
      <c r="E274" s="81"/>
      <c r="F274" s="128"/>
    </row>
    <row r="275" spans="1:10" s="29" customFormat="1" ht="15.75">
      <c r="A275" s="192" t="s">
        <v>222</v>
      </c>
      <c r="B275" s="192"/>
      <c r="C275" s="125"/>
      <c r="D275" s="27">
        <f>D273-D271</f>
        <v>227006.3999999985</v>
      </c>
      <c r="E275" s="27">
        <f>E273-E271</f>
        <v>24239.5</v>
      </c>
      <c r="F275" s="23">
        <f>D275+E275</f>
        <v>251245.8999999985</v>
      </c>
      <c r="J275" s="20"/>
    </row>
    <row r="276" spans="1:10" s="29" customFormat="1" ht="15.75">
      <c r="A276" s="126"/>
      <c r="B276" s="126"/>
      <c r="C276" s="125"/>
      <c r="D276" s="27"/>
      <c r="E276" s="27"/>
      <c r="F276" s="23"/>
      <c r="J276" s="20"/>
    </row>
    <row r="277" spans="1:10" s="29" customFormat="1" ht="15.75">
      <c r="A277" s="44" t="s">
        <v>223</v>
      </c>
      <c r="B277" s="44"/>
      <c r="C277" s="129"/>
      <c r="D277" s="30"/>
      <c r="E277" s="81"/>
      <c r="F277" s="130">
        <f>SUM(F278:F281)</f>
        <v>353979.97</v>
      </c>
      <c r="J277" s="20"/>
    </row>
    <row r="278" spans="1:6" ht="15.75">
      <c r="A278" s="191" t="s">
        <v>224</v>
      </c>
      <c r="B278" s="191"/>
      <c r="C278" s="63"/>
      <c r="D278" s="8"/>
      <c r="E278" s="25"/>
      <c r="F278" s="37">
        <v>74500</v>
      </c>
    </row>
    <row r="279" spans="1:6" ht="15.75">
      <c r="A279" s="131" t="s">
        <v>225</v>
      </c>
      <c r="B279" s="131"/>
      <c r="C279" s="63"/>
      <c r="D279" s="8"/>
      <c r="E279" s="25"/>
      <c r="F279" s="37">
        <v>52084.25</v>
      </c>
    </row>
    <row r="280" spans="1:6" ht="15.75">
      <c r="A280" s="131" t="s">
        <v>226</v>
      </c>
      <c r="B280" s="131"/>
      <c r="C280" s="63"/>
      <c r="D280" s="8"/>
      <c r="E280" s="25"/>
      <c r="F280" s="37">
        <v>177502.72</v>
      </c>
    </row>
    <row r="281" spans="1:6" ht="15.75">
      <c r="A281" s="131" t="s">
        <v>227</v>
      </c>
      <c r="B281" s="131"/>
      <c r="C281" s="63"/>
      <c r="D281" s="8"/>
      <c r="E281" s="25"/>
      <c r="F281" s="37">
        <v>49893</v>
      </c>
    </row>
    <row r="282" spans="5:6" ht="13.5" customHeight="1">
      <c r="E282" s="20"/>
      <c r="F282" s="20"/>
    </row>
    <row r="283" spans="1:10" s="34" customFormat="1" ht="54" customHeight="1">
      <c r="A283" s="193" t="s">
        <v>277</v>
      </c>
      <c r="B283" s="194"/>
      <c r="C283" s="194"/>
      <c r="D283" s="194"/>
      <c r="E283" s="194"/>
      <c r="F283" s="194"/>
      <c r="G283" s="52"/>
      <c r="J283" s="63"/>
    </row>
    <row r="284" spans="1:6" ht="14.25" customHeight="1">
      <c r="A284" s="123"/>
      <c r="B284" s="123"/>
      <c r="C284" s="123"/>
      <c r="D284" s="123"/>
      <c r="E284" s="123"/>
      <c r="F284" s="123"/>
    </row>
    <row r="285" ht="22.5" customHeight="1">
      <c r="A285" s="11" t="s">
        <v>228</v>
      </c>
    </row>
    <row r="286" ht="13.5" customHeight="1">
      <c r="A286" s="11"/>
    </row>
    <row r="287" spans="1:10" s="133" customFormat="1" ht="69" customHeight="1">
      <c r="A287" s="195" t="s">
        <v>278</v>
      </c>
      <c r="B287" s="195"/>
      <c r="C287" s="195"/>
      <c r="D287" s="195"/>
      <c r="E287" s="195"/>
      <c r="F287" s="195"/>
      <c r="J287" s="140"/>
    </row>
    <row r="288" spans="1:10" s="133" customFormat="1" ht="9.75" customHeight="1">
      <c r="A288" s="95"/>
      <c r="B288" s="95"/>
      <c r="C288" s="95"/>
      <c r="D288" s="95"/>
      <c r="E288" s="95"/>
      <c r="F288" s="95"/>
      <c r="J288" s="140"/>
    </row>
    <row r="289" spans="1:10" s="133" customFormat="1" ht="50.25" customHeight="1">
      <c r="A289" s="195" t="s">
        <v>229</v>
      </c>
      <c r="B289" s="195"/>
      <c r="C289" s="195"/>
      <c r="D289" s="195"/>
      <c r="E289" s="195"/>
      <c r="F289" s="195"/>
      <c r="J289" s="140"/>
    </row>
    <row r="290" spans="1:10" s="133" customFormat="1" ht="25.5" customHeight="1">
      <c r="A290" s="196" t="s">
        <v>230</v>
      </c>
      <c r="B290" s="196"/>
      <c r="C290" s="196"/>
      <c r="D290" s="196"/>
      <c r="E290" s="196"/>
      <c r="F290" s="196"/>
      <c r="J290" s="140"/>
    </row>
    <row r="291" s="34" customFormat="1" ht="13.5" customHeight="1">
      <c r="J291" s="63"/>
    </row>
    <row r="292" spans="1:6" ht="48" customHeight="1">
      <c r="A292" s="28"/>
      <c r="B292" s="28"/>
      <c r="C292" s="134"/>
      <c r="D292" s="28"/>
      <c r="E292" s="28"/>
      <c r="F292" s="28"/>
    </row>
    <row r="293" spans="1:3" ht="15">
      <c r="A293" s="2" t="s">
        <v>231</v>
      </c>
      <c r="B293" s="123"/>
      <c r="C293" s="2" t="s">
        <v>232</v>
      </c>
    </row>
    <row r="294" spans="3:4" ht="15">
      <c r="C294" s="132" t="s">
        <v>233</v>
      </c>
      <c r="D294" s="132"/>
    </row>
    <row r="295" spans="2:3" ht="15">
      <c r="B295" s="132"/>
      <c r="C295" s="132"/>
    </row>
    <row r="296" ht="36.75" customHeight="1"/>
    <row r="297" spans="1:3" ht="15">
      <c r="A297" s="191" t="s">
        <v>272</v>
      </c>
      <c r="B297" s="191"/>
      <c r="C297" s="191"/>
    </row>
    <row r="298" spans="1:3" ht="15">
      <c r="A298" s="132"/>
      <c r="B298" s="132"/>
      <c r="C298" s="132"/>
    </row>
    <row r="299" ht="41.25" customHeight="1"/>
    <row r="300" spans="1:3" ht="15">
      <c r="A300" s="2" t="s">
        <v>234</v>
      </c>
      <c r="C300" s="45"/>
    </row>
    <row r="301" ht="15">
      <c r="C301" s="123"/>
    </row>
    <row r="303" spans="1:3" ht="15">
      <c r="A303" s="2" t="s">
        <v>235</v>
      </c>
      <c r="B303" s="123"/>
      <c r="C303" s="175">
        <v>42482</v>
      </c>
    </row>
    <row r="304" spans="1:3" ht="15">
      <c r="A304" s="34"/>
      <c r="B304" s="52"/>
      <c r="C304" s="52"/>
    </row>
    <row r="305" ht="15">
      <c r="B305" s="123"/>
    </row>
    <row r="306" spans="1:3" ht="15">
      <c r="A306" s="2" t="s">
        <v>236</v>
      </c>
      <c r="B306" s="123"/>
      <c r="C306" s="45"/>
    </row>
  </sheetData>
  <sheetProtection/>
  <mergeCells count="43">
    <mergeCell ref="B1:F1"/>
    <mergeCell ref="B2:F2"/>
    <mergeCell ref="A3:F3"/>
    <mergeCell ref="A4:F5"/>
    <mergeCell ref="B7:E7"/>
    <mergeCell ref="C8:F8"/>
    <mergeCell ref="C9:F9"/>
    <mergeCell ref="C10:F10"/>
    <mergeCell ref="C11:F11"/>
    <mergeCell ref="C12:F12"/>
    <mergeCell ref="C13:F13"/>
    <mergeCell ref="C14:D14"/>
    <mergeCell ref="C15:F15"/>
    <mergeCell ref="B18:E18"/>
    <mergeCell ref="D19:D20"/>
    <mergeCell ref="D21:D22"/>
    <mergeCell ref="B24:E24"/>
    <mergeCell ref="C25:F25"/>
    <mergeCell ref="B28:E28"/>
    <mergeCell ref="A41:B41"/>
    <mergeCell ref="A45:B45"/>
    <mergeCell ref="A48:B48"/>
    <mergeCell ref="A49:B49"/>
    <mergeCell ref="A50:B50"/>
    <mergeCell ref="B106:C106"/>
    <mergeCell ref="B107:C107"/>
    <mergeCell ref="B108:C108"/>
    <mergeCell ref="B124:C124"/>
    <mergeCell ref="B180:C180"/>
    <mergeCell ref="B181:C181"/>
    <mergeCell ref="B182:C182"/>
    <mergeCell ref="A192:F192"/>
    <mergeCell ref="A238:F238"/>
    <mergeCell ref="A263:F263"/>
    <mergeCell ref="A271:B271"/>
    <mergeCell ref="A273:B273"/>
    <mergeCell ref="A297:C297"/>
    <mergeCell ref="A275:B275"/>
    <mergeCell ref="A278:B278"/>
    <mergeCell ref="A283:F283"/>
    <mergeCell ref="A287:F287"/>
    <mergeCell ref="A289:F289"/>
    <mergeCell ref="A290:F290"/>
  </mergeCells>
  <printOptions/>
  <pageMargins left="0.25" right="0.25" top="0.75" bottom="0.75" header="0.3" footer="0.3"/>
  <pageSetup horizontalDpi="600" verticalDpi="600" orientation="portrait" paperSize="9" r:id="rId2"/>
  <headerFooter>
    <oddFooter>&amp;L&amp;9&amp;K01+046Zpracovala: Ing. Linda Burianová&amp;R&amp;9&amp;K01+047&amp;P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B65" sqref="B65"/>
    </sheetView>
  </sheetViews>
  <sheetFormatPr defaultColWidth="9.140625" defaultRowHeight="15"/>
  <cols>
    <col min="1" max="1" width="12.57421875" style="0" customWidth="1"/>
    <col min="2" max="2" width="26.00390625" style="0" customWidth="1"/>
    <col min="3" max="3" width="19.28125" style="0" customWidth="1"/>
    <col min="4" max="4" width="2.28125" style="0" customWidth="1"/>
    <col min="5" max="5" width="14.57421875" style="0" customWidth="1"/>
    <col min="6" max="6" width="13.421875" style="0" customWidth="1"/>
    <col min="7" max="7" width="0.71875" style="0" customWidth="1"/>
    <col min="8" max="8" width="13.28125" style="0" customWidth="1"/>
  </cols>
  <sheetData>
    <row r="1" spans="1:8" ht="42.75" customHeight="1">
      <c r="A1" s="209" t="s">
        <v>254</v>
      </c>
      <c r="B1" s="209"/>
      <c r="C1" s="209"/>
      <c r="D1" s="209"/>
      <c r="E1" s="209"/>
      <c r="F1" s="142"/>
      <c r="G1" s="142"/>
      <c r="H1" s="142"/>
    </row>
    <row r="2" ht="18.75">
      <c r="A2" s="143"/>
    </row>
    <row r="3" spans="1:8" ht="15.75">
      <c r="A3" s="210" t="s">
        <v>255</v>
      </c>
      <c r="B3" s="210"/>
      <c r="C3" s="210"/>
      <c r="D3" s="210"/>
      <c r="E3" s="210"/>
      <c r="F3" s="144"/>
      <c r="G3" s="144"/>
      <c r="H3" s="144"/>
    </row>
    <row r="4" spans="1:5" ht="15">
      <c r="A4" s="210"/>
      <c r="B4" s="210"/>
      <c r="C4" s="210"/>
      <c r="D4" s="210"/>
      <c r="E4" s="210"/>
    </row>
    <row r="5" spans="1:5" ht="15.75">
      <c r="A5" s="145"/>
      <c r="B5" s="145"/>
      <c r="C5" s="145"/>
      <c r="D5" s="145"/>
      <c r="E5" s="145"/>
    </row>
    <row r="6" ht="18.75">
      <c r="A6" s="146"/>
    </row>
    <row r="7" spans="1:4" ht="15">
      <c r="A7" s="147" t="s">
        <v>256</v>
      </c>
      <c r="B7" s="148"/>
      <c r="C7" t="s">
        <v>257</v>
      </c>
      <c r="D7" s="149"/>
    </row>
    <row r="8" spans="1:4" ht="18.75">
      <c r="A8" s="146"/>
      <c r="C8" t="s">
        <v>258</v>
      </c>
      <c r="D8" s="149"/>
    </row>
    <row r="9" spans="1:4" ht="18.75">
      <c r="A9" s="146"/>
      <c r="C9" t="s">
        <v>259</v>
      </c>
      <c r="D9" s="149"/>
    </row>
    <row r="10" spans="1:4" ht="18.75">
      <c r="A10" s="146"/>
      <c r="C10" t="s">
        <v>260</v>
      </c>
      <c r="D10" s="149"/>
    </row>
    <row r="11" ht="18.75">
      <c r="A11" s="146"/>
    </row>
    <row r="12" ht="18.75">
      <c r="A12" s="146"/>
    </row>
    <row r="13" spans="1:8" ht="18">
      <c r="A13" s="150" t="s">
        <v>5</v>
      </c>
      <c r="B13" s="142"/>
      <c r="C13" s="142"/>
      <c r="D13" s="142"/>
      <c r="E13" s="142"/>
      <c r="F13" s="142"/>
      <c r="G13" s="142"/>
      <c r="H13" s="142"/>
    </row>
    <row r="14" ht="18.75">
      <c r="A14" s="151"/>
    </row>
    <row r="15" spans="1:5" ht="15">
      <c r="A15" s="147"/>
      <c r="B15" s="147"/>
      <c r="C15" s="147" t="s">
        <v>261</v>
      </c>
      <c r="D15" s="152"/>
      <c r="E15" s="152" t="s">
        <v>262</v>
      </c>
    </row>
    <row r="16" spans="1:5" ht="15">
      <c r="A16" s="142" t="s">
        <v>43</v>
      </c>
      <c r="B16" s="142" t="s">
        <v>9</v>
      </c>
      <c r="C16" s="153">
        <v>0</v>
      </c>
      <c r="D16" s="153"/>
      <c r="E16" s="153">
        <v>100.00317305261521</v>
      </c>
    </row>
    <row r="17" spans="1:5" ht="15">
      <c r="A17" s="142" t="s">
        <v>44</v>
      </c>
      <c r="B17" s="142" t="s">
        <v>11</v>
      </c>
      <c r="C17" s="153">
        <v>104162.16</v>
      </c>
      <c r="D17" s="153"/>
      <c r="E17" s="153">
        <v>100</v>
      </c>
    </row>
    <row r="18" spans="1:5" ht="15">
      <c r="A18" s="142" t="s">
        <v>45</v>
      </c>
      <c r="B18" s="142" t="s">
        <v>13</v>
      </c>
      <c r="C18" s="154">
        <v>0</v>
      </c>
      <c r="D18" s="153"/>
      <c r="E18" s="153">
        <v>100</v>
      </c>
    </row>
    <row r="19" spans="1:5" ht="15">
      <c r="A19" s="142" t="s">
        <v>46</v>
      </c>
      <c r="B19" s="142" t="s">
        <v>15</v>
      </c>
      <c r="C19" s="153">
        <v>4986</v>
      </c>
      <c r="D19" s="153"/>
      <c r="E19" s="153"/>
    </row>
    <row r="20" spans="1:5" ht="15">
      <c r="A20" s="142"/>
      <c r="B20" s="142"/>
      <c r="C20" s="142"/>
      <c r="D20" s="142"/>
      <c r="E20" s="142"/>
    </row>
    <row r="21" spans="1:5" ht="15">
      <c r="A21" s="211" t="s">
        <v>47</v>
      </c>
      <c r="B21" s="211"/>
      <c r="C21" s="155">
        <f>SUM(C16:C20)</f>
        <v>109148.16</v>
      </c>
      <c r="D21" s="155"/>
      <c r="E21" s="155">
        <f>AVERAGE(E16:E20)</f>
        <v>100.00105768420508</v>
      </c>
    </row>
    <row r="22" spans="1:5" ht="15">
      <c r="A22" s="156"/>
      <c r="B22" s="156"/>
      <c r="C22" s="155"/>
      <c r="D22" s="155"/>
      <c r="E22" s="155"/>
    </row>
    <row r="23" spans="1:5" ht="15">
      <c r="A23" s="142"/>
      <c r="B23" s="142"/>
      <c r="C23" s="142"/>
      <c r="D23" s="142"/>
      <c r="E23" s="142"/>
    </row>
    <row r="24" spans="1:5" ht="15">
      <c r="A24" s="142" t="s">
        <v>48</v>
      </c>
      <c r="B24" s="142" t="s">
        <v>17</v>
      </c>
      <c r="C24" s="153">
        <v>99570.32</v>
      </c>
      <c r="D24" s="153"/>
      <c r="E24" s="153">
        <v>100.0012077863743</v>
      </c>
    </row>
    <row r="25" spans="1:5" ht="15">
      <c r="A25" s="142" t="s">
        <v>49</v>
      </c>
      <c r="B25" s="142" t="s">
        <v>19</v>
      </c>
      <c r="C25" s="153">
        <v>0</v>
      </c>
      <c r="D25" s="153"/>
      <c r="E25" s="153">
        <v>100</v>
      </c>
    </row>
    <row r="26" spans="1:5" ht="15">
      <c r="A26" s="142"/>
      <c r="B26" s="142"/>
      <c r="C26" s="142"/>
      <c r="D26" s="142"/>
      <c r="E26" s="142"/>
    </row>
    <row r="27" spans="1:5" ht="15">
      <c r="A27" s="211" t="s">
        <v>50</v>
      </c>
      <c r="B27" s="211"/>
      <c r="C27" s="155">
        <f>SUM(C24:C26)</f>
        <v>99570.32</v>
      </c>
      <c r="D27" s="155"/>
      <c r="E27" s="155">
        <f>AVERAGE(E24:E26)</f>
        <v>100.00060389318715</v>
      </c>
    </row>
    <row r="28" spans="1:5" ht="15">
      <c r="A28" s="156"/>
      <c r="B28" s="156"/>
      <c r="C28" s="155"/>
      <c r="D28" s="155"/>
      <c r="E28" s="155"/>
    </row>
    <row r="29" spans="1:5" ht="15">
      <c r="A29" s="142"/>
      <c r="B29" s="142"/>
      <c r="C29" s="142"/>
      <c r="D29" s="142"/>
      <c r="E29" s="142"/>
    </row>
    <row r="30" spans="1:5" ht="15">
      <c r="A30" s="142" t="s">
        <v>51</v>
      </c>
      <c r="B30" s="142" t="s">
        <v>21</v>
      </c>
      <c r="C30" s="153">
        <f>C27-C21</f>
        <v>-9577.839999999997</v>
      </c>
      <c r="D30" s="142"/>
      <c r="E30" s="142"/>
    </row>
    <row r="31" spans="1:5" ht="15">
      <c r="A31" s="142"/>
      <c r="B31" s="142"/>
      <c r="C31" s="142"/>
      <c r="D31" s="142"/>
      <c r="E31" s="142"/>
    </row>
    <row r="32" spans="1:5" ht="15">
      <c r="A32" s="142"/>
      <c r="B32" s="142"/>
      <c r="C32" s="142"/>
      <c r="D32" s="142"/>
      <c r="E32" s="142"/>
    </row>
    <row r="33" spans="1:5" ht="15">
      <c r="A33" s="142"/>
      <c r="B33" s="142"/>
      <c r="C33" s="142"/>
      <c r="D33" s="142"/>
      <c r="E33" s="153"/>
    </row>
    <row r="34" spans="1:8" ht="15">
      <c r="A34" s="142"/>
      <c r="B34" s="142"/>
      <c r="C34" s="153"/>
      <c r="D34" s="142"/>
      <c r="E34" s="142"/>
      <c r="F34" s="157"/>
      <c r="G34" s="157"/>
      <c r="H34" s="157"/>
    </row>
    <row r="35" spans="1:8" ht="15">
      <c r="A35" s="142"/>
      <c r="B35" s="142"/>
      <c r="C35" s="153"/>
      <c r="D35" s="142"/>
      <c r="E35" s="142"/>
      <c r="F35" s="157"/>
      <c r="G35" s="157"/>
      <c r="H35" s="157"/>
    </row>
    <row r="36" spans="1:8" ht="15">
      <c r="A36" s="142"/>
      <c r="B36" s="142"/>
      <c r="C36" s="153"/>
      <c r="D36" s="142"/>
      <c r="E36" s="142"/>
      <c r="F36" s="157"/>
      <c r="G36" s="157"/>
      <c r="H36" s="157"/>
    </row>
    <row r="37" spans="1:8" ht="18">
      <c r="A37" s="150" t="s">
        <v>263</v>
      </c>
      <c r="B37" s="142"/>
      <c r="C37" s="142"/>
      <c r="D37" s="142"/>
      <c r="E37" s="142"/>
      <c r="F37" s="142"/>
      <c r="G37" s="142"/>
      <c r="H37" s="142"/>
    </row>
    <row r="38" spans="1:8" ht="18">
      <c r="A38" s="158"/>
      <c r="B38" s="142"/>
      <c r="C38" s="142"/>
      <c r="D38" s="142"/>
      <c r="E38" s="142"/>
      <c r="F38" s="142"/>
      <c r="G38" s="142"/>
      <c r="H38" s="142"/>
    </row>
    <row r="39" spans="1:8" ht="15">
      <c r="A39" s="212" t="s">
        <v>264</v>
      </c>
      <c r="B39" s="212"/>
      <c r="C39" s="212"/>
      <c r="D39" s="159"/>
      <c r="E39" s="160" t="s">
        <v>158</v>
      </c>
      <c r="F39" s="161" t="s">
        <v>159</v>
      </c>
      <c r="G39" s="161"/>
      <c r="H39" s="161" t="s">
        <v>160</v>
      </c>
    </row>
    <row r="40" spans="1:8" ht="15">
      <c r="A40" s="142" t="s">
        <v>265</v>
      </c>
      <c r="B40" s="142"/>
      <c r="C40" s="153"/>
      <c r="D40" s="162"/>
      <c r="E40" s="153"/>
      <c r="F40" s="153"/>
      <c r="G40" s="163"/>
      <c r="H40" s="162"/>
    </row>
    <row r="41" spans="1:8" ht="15">
      <c r="A41" s="142" t="s">
        <v>266</v>
      </c>
      <c r="B41" s="142"/>
      <c r="C41" s="163">
        <v>1024485.2</v>
      </c>
      <c r="D41" s="162"/>
      <c r="E41" s="153">
        <v>1970286.2</v>
      </c>
      <c r="F41" s="153">
        <v>1036631</v>
      </c>
      <c r="G41" s="163"/>
      <c r="H41" s="163">
        <f>E41-F41</f>
        <v>933655.2</v>
      </c>
    </row>
    <row r="42" spans="1:8" ht="15">
      <c r="A42" s="142" t="s">
        <v>267</v>
      </c>
      <c r="B42" s="142"/>
      <c r="C42" s="153"/>
      <c r="D42" s="162"/>
      <c r="E42" s="162">
        <v>10347</v>
      </c>
      <c r="F42" s="153">
        <v>10347</v>
      </c>
      <c r="G42" s="142"/>
      <c r="H42" s="154">
        <v>0</v>
      </c>
    </row>
    <row r="43" spans="1:8" ht="15">
      <c r="A43" s="142"/>
      <c r="B43" s="142"/>
      <c r="C43" s="153"/>
      <c r="D43" s="213"/>
      <c r="E43" s="213"/>
      <c r="F43" s="142"/>
      <c r="G43" s="142"/>
      <c r="H43" s="142"/>
    </row>
    <row r="44" spans="1:8" ht="15.75">
      <c r="A44" s="142"/>
      <c r="B44" s="142"/>
      <c r="C44" s="164"/>
      <c r="D44" s="163"/>
      <c r="E44" s="163"/>
      <c r="F44" s="142"/>
      <c r="G44" s="142"/>
      <c r="H44" s="142"/>
    </row>
    <row r="45" spans="1:8" ht="15.75">
      <c r="A45" s="142"/>
      <c r="B45" s="142"/>
      <c r="C45" s="164"/>
      <c r="D45" s="163"/>
      <c r="E45" s="163"/>
      <c r="F45" s="142"/>
      <c r="G45" s="142"/>
      <c r="H45" s="142"/>
    </row>
    <row r="46" spans="1:8" ht="15.75">
      <c r="A46" s="142"/>
      <c r="B46" s="142"/>
      <c r="C46" s="164"/>
      <c r="D46" s="163"/>
      <c r="E46" s="163"/>
      <c r="F46" s="142"/>
      <c r="G46" s="142"/>
      <c r="H46" s="142"/>
    </row>
    <row r="47" spans="1:8" ht="15">
      <c r="A47" s="142" t="s">
        <v>268</v>
      </c>
      <c r="B47" s="160"/>
      <c r="C47" s="161"/>
      <c r="D47" s="161"/>
      <c r="E47" s="161"/>
      <c r="F47" s="142"/>
      <c r="G47" s="142"/>
      <c r="H47" s="142"/>
    </row>
    <row r="48" spans="1:8" ht="15">
      <c r="A48" s="165" t="s">
        <v>269</v>
      </c>
      <c r="B48" s="153"/>
      <c r="C48" s="153"/>
      <c r="D48" s="163"/>
      <c r="E48" s="162"/>
      <c r="F48" s="162"/>
      <c r="G48" s="142"/>
      <c r="H48" s="142"/>
    </row>
    <row r="49" spans="1:8" ht="15">
      <c r="A49" s="165"/>
      <c r="B49" s="153"/>
      <c r="C49" s="153"/>
      <c r="D49" s="163"/>
      <c r="E49" s="163"/>
      <c r="F49" s="142"/>
      <c r="G49" s="142"/>
      <c r="H49" s="142"/>
    </row>
    <row r="50" spans="1:8" ht="15">
      <c r="A50" s="147"/>
      <c r="B50" s="147"/>
      <c r="C50" s="147"/>
      <c r="D50" s="147"/>
      <c r="E50" s="147"/>
      <c r="F50" s="215"/>
      <c r="G50" s="215"/>
      <c r="H50" s="142"/>
    </row>
    <row r="51" spans="1:8" ht="15">
      <c r="A51" s="166"/>
      <c r="B51" s="166"/>
      <c r="C51" s="166"/>
      <c r="D51" s="166"/>
      <c r="E51" s="166"/>
      <c r="F51" s="216"/>
      <c r="G51" s="216"/>
      <c r="H51" s="142"/>
    </row>
    <row r="52" spans="1:8" ht="15" hidden="1">
      <c r="A52" s="166"/>
      <c r="B52" s="166"/>
      <c r="C52" s="166"/>
      <c r="D52" s="166"/>
      <c r="E52" s="166"/>
      <c r="F52" s="167"/>
      <c r="G52" s="167"/>
      <c r="H52" s="142"/>
    </row>
    <row r="53" spans="1:8" ht="0.75" customHeight="1" hidden="1">
      <c r="A53" s="166"/>
      <c r="B53" s="166"/>
      <c r="C53" s="166"/>
      <c r="D53" s="166"/>
      <c r="E53" s="166"/>
      <c r="F53" s="167"/>
      <c r="G53" s="167"/>
      <c r="H53" s="142"/>
    </row>
    <row r="54" spans="1:8" ht="15">
      <c r="A54" s="142"/>
      <c r="B54" s="147"/>
      <c r="C54" s="142"/>
      <c r="D54" s="142"/>
      <c r="E54" s="142"/>
      <c r="F54" s="213"/>
      <c r="G54" s="213"/>
      <c r="H54" s="142"/>
    </row>
    <row r="55" spans="1:8" ht="15">
      <c r="A55" t="s">
        <v>231</v>
      </c>
      <c r="B55" t="s">
        <v>232</v>
      </c>
      <c r="F55" s="213"/>
      <c r="G55" s="213"/>
      <c r="H55" s="142"/>
    </row>
    <row r="56" spans="2:8" ht="15.75">
      <c r="B56" s="214" t="s">
        <v>270</v>
      </c>
      <c r="C56" s="214"/>
      <c r="F56" s="208"/>
      <c r="G56" s="208"/>
      <c r="H56" s="142"/>
    </row>
    <row r="57" spans="2:8" ht="15">
      <c r="B57" s="168"/>
      <c r="C57" s="168"/>
      <c r="F57" s="213"/>
      <c r="G57" s="213"/>
      <c r="H57" s="142"/>
    </row>
    <row r="58" spans="6:8" ht="15">
      <c r="F58" s="213"/>
      <c r="G58" s="213"/>
      <c r="H58" s="142"/>
    </row>
    <row r="59" spans="1:8" ht="15">
      <c r="A59" s="214" t="s">
        <v>272</v>
      </c>
      <c r="B59" s="214"/>
      <c r="C59" s="214"/>
      <c r="F59" s="213"/>
      <c r="G59" s="213"/>
      <c r="H59" s="142"/>
    </row>
    <row r="60" spans="1:8" ht="15">
      <c r="A60" s="168"/>
      <c r="B60" s="168"/>
      <c r="C60" s="168"/>
      <c r="F60" s="213"/>
      <c r="G60" s="213"/>
      <c r="H60" s="142"/>
    </row>
    <row r="61" spans="6:8" ht="15">
      <c r="F61" s="142"/>
      <c r="G61" s="142"/>
      <c r="H61" s="142"/>
    </row>
    <row r="62" spans="1:8" ht="15">
      <c r="A62" t="s">
        <v>271</v>
      </c>
      <c r="C62" s="148"/>
      <c r="F62" s="166"/>
      <c r="G62" s="166"/>
      <c r="H62" s="142"/>
    </row>
    <row r="63" spans="3:8" ht="15">
      <c r="C63" s="169"/>
      <c r="F63" s="166"/>
      <c r="G63" s="166"/>
      <c r="H63" s="142"/>
    </row>
    <row r="64" spans="6:8" ht="15">
      <c r="F64" s="142"/>
      <c r="G64" s="142"/>
      <c r="H64" s="142"/>
    </row>
    <row r="65" spans="1:3" ht="15">
      <c r="A65" t="s">
        <v>235</v>
      </c>
      <c r="B65" s="169"/>
      <c r="C65" s="170">
        <v>42482</v>
      </c>
    </row>
    <row r="66" spans="2:3" ht="15">
      <c r="B66" s="169"/>
      <c r="C66" s="169"/>
    </row>
    <row r="67" ht="15">
      <c r="B67" s="169"/>
    </row>
    <row r="68" spans="1:3" ht="15">
      <c r="A68" t="s">
        <v>236</v>
      </c>
      <c r="B68" s="169"/>
      <c r="C68" s="148"/>
    </row>
  </sheetData>
  <sheetProtection/>
  <mergeCells count="17">
    <mergeCell ref="F57:G57"/>
    <mergeCell ref="F58:G58"/>
    <mergeCell ref="A59:C59"/>
    <mergeCell ref="F59:G59"/>
    <mergeCell ref="F60:G60"/>
    <mergeCell ref="F50:G50"/>
    <mergeCell ref="F51:G51"/>
    <mergeCell ref="F54:G54"/>
    <mergeCell ref="F55:G55"/>
    <mergeCell ref="B56:C56"/>
    <mergeCell ref="F56:G56"/>
    <mergeCell ref="A1:E1"/>
    <mergeCell ref="A3:E4"/>
    <mergeCell ref="A21:B21"/>
    <mergeCell ref="A27:B27"/>
    <mergeCell ref="A39:C39"/>
    <mergeCell ref="D43:E43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3">
      <selection activeCell="A3" sqref="A3:E4"/>
    </sheetView>
  </sheetViews>
  <sheetFormatPr defaultColWidth="9.140625" defaultRowHeight="15"/>
  <cols>
    <col min="1" max="1" width="12.57421875" style="0" customWidth="1"/>
    <col min="2" max="2" width="26.00390625" style="0" customWidth="1"/>
    <col min="3" max="3" width="19.28125" style="0" customWidth="1"/>
    <col min="4" max="4" width="2.28125" style="0" customWidth="1"/>
    <col min="5" max="5" width="14.57421875" style="0" customWidth="1"/>
    <col min="6" max="6" width="13.421875" style="0" customWidth="1"/>
    <col min="7" max="7" width="0.71875" style="0" customWidth="1"/>
    <col min="8" max="8" width="13.28125" style="0" customWidth="1"/>
  </cols>
  <sheetData>
    <row r="1" spans="1:8" ht="42.75" customHeight="1">
      <c r="A1" s="209" t="s">
        <v>312</v>
      </c>
      <c r="B1" s="209"/>
      <c r="C1" s="209"/>
      <c r="D1" s="209"/>
      <c r="E1" s="209"/>
      <c r="F1" s="142"/>
      <c r="G1" s="142"/>
      <c r="H1" s="142"/>
    </row>
    <row r="2" ht="18.75">
      <c r="A2" s="143"/>
    </row>
    <row r="3" spans="1:8" ht="15.75">
      <c r="A3" s="210" t="s">
        <v>255</v>
      </c>
      <c r="B3" s="210"/>
      <c r="C3" s="210"/>
      <c r="D3" s="210"/>
      <c r="E3" s="210"/>
      <c r="F3" s="144"/>
      <c r="G3" s="144"/>
      <c r="H3" s="144"/>
    </row>
    <row r="4" spans="1:5" ht="15">
      <c r="A4" s="210"/>
      <c r="B4" s="210"/>
      <c r="C4" s="210"/>
      <c r="D4" s="210"/>
      <c r="E4" s="210"/>
    </row>
    <row r="5" spans="1:5" ht="15.75">
      <c r="A5" s="183"/>
      <c r="B5" s="183"/>
      <c r="C5" s="183"/>
      <c r="D5" s="183"/>
      <c r="E5" s="183"/>
    </row>
    <row r="6" ht="18.75">
      <c r="A6" s="146"/>
    </row>
    <row r="7" spans="1:4" ht="15">
      <c r="A7" s="147" t="s">
        <v>256</v>
      </c>
      <c r="B7" s="148"/>
      <c r="C7" t="s">
        <v>257</v>
      </c>
      <c r="D7" s="149"/>
    </row>
    <row r="8" spans="1:4" ht="18.75">
      <c r="A8" s="146"/>
      <c r="C8" t="s">
        <v>258</v>
      </c>
      <c r="D8" s="149"/>
    </row>
    <row r="9" spans="1:4" ht="18.75">
      <c r="A9" s="146"/>
      <c r="C9" t="s">
        <v>259</v>
      </c>
      <c r="D9" s="149"/>
    </row>
    <row r="10" spans="1:4" ht="18.75">
      <c r="A10" s="146"/>
      <c r="C10" t="s">
        <v>260</v>
      </c>
      <c r="D10" s="149"/>
    </row>
    <row r="11" ht="18.75">
      <c r="A11" s="146"/>
    </row>
    <row r="12" ht="18.75">
      <c r="A12" s="146"/>
    </row>
    <row r="13" spans="1:8" ht="18">
      <c r="A13" s="150" t="s">
        <v>279</v>
      </c>
      <c r="B13" s="142"/>
      <c r="C13" s="142"/>
      <c r="D13" s="142"/>
      <c r="E13" s="142"/>
      <c r="F13" s="142"/>
      <c r="G13" s="142"/>
      <c r="H13" s="142"/>
    </row>
    <row r="14" ht="18.75">
      <c r="A14" s="151"/>
    </row>
    <row r="15" spans="1:5" ht="15">
      <c r="A15" s="147"/>
      <c r="B15" s="147"/>
      <c r="C15" s="147" t="s">
        <v>280</v>
      </c>
      <c r="D15" s="152"/>
      <c r="E15" s="152" t="s">
        <v>262</v>
      </c>
    </row>
    <row r="16" spans="1:5" ht="15">
      <c r="A16" s="142" t="s">
        <v>43</v>
      </c>
      <c r="B16" s="142" t="s">
        <v>9</v>
      </c>
      <c r="C16" s="153">
        <v>0</v>
      </c>
      <c r="D16" s="153"/>
      <c r="E16" s="153">
        <v>100.00317305261521</v>
      </c>
    </row>
    <row r="17" spans="1:5" ht="15">
      <c r="A17" s="142" t="s">
        <v>44</v>
      </c>
      <c r="B17" s="142" t="s">
        <v>11</v>
      </c>
      <c r="C17" s="153">
        <v>100972.65</v>
      </c>
      <c r="D17" s="153"/>
      <c r="E17" s="153">
        <v>100</v>
      </c>
    </row>
    <row r="18" spans="1:5" ht="15">
      <c r="A18" s="142" t="s">
        <v>45</v>
      </c>
      <c r="B18" s="142" t="s">
        <v>13</v>
      </c>
      <c r="C18" s="154">
        <v>0</v>
      </c>
      <c r="D18" s="153"/>
      <c r="E18" s="153">
        <v>100</v>
      </c>
    </row>
    <row r="19" spans="1:5" ht="15">
      <c r="A19" s="142" t="s">
        <v>46</v>
      </c>
      <c r="B19" s="142" t="s">
        <v>15</v>
      </c>
      <c r="C19" s="153">
        <v>188469</v>
      </c>
      <c r="D19" s="153"/>
      <c r="E19" s="153"/>
    </row>
    <row r="20" spans="1:5" ht="15">
      <c r="A20" s="142"/>
      <c r="B20" s="142"/>
      <c r="C20" s="142"/>
      <c r="D20" s="142"/>
      <c r="E20" s="142"/>
    </row>
    <row r="21" spans="1:5" ht="15">
      <c r="A21" s="211" t="s">
        <v>47</v>
      </c>
      <c r="B21" s="211"/>
      <c r="C21" s="155">
        <f>SUM(C16:C20)</f>
        <v>289441.65</v>
      </c>
      <c r="D21" s="155"/>
      <c r="E21" s="155">
        <f>AVERAGE(E16:E20)</f>
        <v>100.00105768420508</v>
      </c>
    </row>
    <row r="22" spans="1:5" ht="15">
      <c r="A22" s="184"/>
      <c r="B22" s="184"/>
      <c r="C22" s="155"/>
      <c r="D22" s="155"/>
      <c r="E22" s="155"/>
    </row>
    <row r="23" spans="1:5" ht="15">
      <c r="A23" s="142"/>
      <c r="B23" s="142"/>
      <c r="C23" s="142"/>
      <c r="D23" s="142"/>
      <c r="E23" s="142"/>
    </row>
    <row r="24" spans="1:5" ht="15">
      <c r="A24" s="142" t="s">
        <v>48</v>
      </c>
      <c r="B24" s="142" t="s">
        <v>17</v>
      </c>
      <c r="C24" s="153">
        <v>74873.3</v>
      </c>
      <c r="D24" s="153"/>
      <c r="E24" s="153">
        <v>100.0012077863743</v>
      </c>
    </row>
    <row r="25" spans="1:5" ht="15">
      <c r="A25" s="142" t="s">
        <v>49</v>
      </c>
      <c r="B25" s="142" t="s">
        <v>19</v>
      </c>
      <c r="C25" s="153">
        <v>187336</v>
      </c>
      <c r="D25" s="153"/>
      <c r="E25" s="153">
        <v>100</v>
      </c>
    </row>
    <row r="26" spans="1:5" ht="15">
      <c r="A26" s="142"/>
      <c r="B26" s="142"/>
      <c r="C26" s="142"/>
      <c r="D26" s="142"/>
      <c r="E26" s="142"/>
    </row>
    <row r="27" spans="1:5" ht="15">
      <c r="A27" s="211" t="s">
        <v>50</v>
      </c>
      <c r="B27" s="211"/>
      <c r="C27" s="155">
        <f>SUM(C24:C26)</f>
        <v>262209.3</v>
      </c>
      <c r="D27" s="155"/>
      <c r="E27" s="155">
        <f>AVERAGE(E24:E26)</f>
        <v>100.00060389318715</v>
      </c>
    </row>
    <row r="28" spans="1:5" ht="15">
      <c r="A28" s="184"/>
      <c r="B28" s="184"/>
      <c r="C28" s="155"/>
      <c r="D28" s="155"/>
      <c r="E28" s="155"/>
    </row>
    <row r="29" spans="1:5" ht="15">
      <c r="A29" s="142"/>
      <c r="B29" s="142"/>
      <c r="C29" s="142"/>
      <c r="D29" s="142"/>
      <c r="E29" s="142"/>
    </row>
    <row r="30" spans="1:5" ht="15">
      <c r="A30" s="142" t="s">
        <v>51</v>
      </c>
      <c r="B30" s="142" t="s">
        <v>21</v>
      </c>
      <c r="C30" s="153">
        <f>C27-C21</f>
        <v>-27232.350000000035</v>
      </c>
      <c r="D30" s="142"/>
      <c r="E30" s="142"/>
    </row>
    <row r="31" spans="1:5" ht="15">
      <c r="A31" s="142"/>
      <c r="B31" s="142"/>
      <c r="C31" s="142"/>
      <c r="D31" s="142"/>
      <c r="E31" s="142"/>
    </row>
    <row r="32" spans="1:5" ht="15">
      <c r="A32" s="142"/>
      <c r="B32" s="142"/>
      <c r="C32" s="142"/>
      <c r="D32" s="142"/>
      <c r="E32" s="142"/>
    </row>
    <row r="33" spans="1:5" ht="15">
      <c r="A33" s="142"/>
      <c r="B33" s="142"/>
      <c r="C33" s="142"/>
      <c r="D33" s="142"/>
      <c r="E33" s="153"/>
    </row>
    <row r="34" spans="1:8" ht="15">
      <c r="A34" s="142"/>
      <c r="B34" s="142"/>
      <c r="C34" s="153"/>
      <c r="D34" s="142"/>
      <c r="E34" s="142"/>
      <c r="F34" s="157"/>
      <c r="G34" s="157"/>
      <c r="H34" s="157"/>
    </row>
    <row r="35" spans="1:8" ht="15">
      <c r="A35" s="142"/>
      <c r="B35" s="142"/>
      <c r="C35" s="153"/>
      <c r="D35" s="142"/>
      <c r="E35" s="142"/>
      <c r="F35" s="157"/>
      <c r="G35" s="157"/>
      <c r="H35" s="157"/>
    </row>
    <row r="36" spans="1:8" ht="15">
      <c r="A36" s="142"/>
      <c r="B36" s="142"/>
      <c r="C36" s="153"/>
      <c r="D36" s="142"/>
      <c r="E36" s="142"/>
      <c r="F36" s="157"/>
      <c r="G36" s="157"/>
      <c r="H36" s="157"/>
    </row>
    <row r="37" spans="1:8" ht="18">
      <c r="A37" s="150" t="s">
        <v>281</v>
      </c>
      <c r="B37" s="142"/>
      <c r="C37" s="142"/>
      <c r="D37" s="142"/>
      <c r="E37" s="142"/>
      <c r="F37" s="142"/>
      <c r="G37" s="142"/>
      <c r="H37" s="142"/>
    </row>
    <row r="38" spans="1:8" ht="18">
      <c r="A38" s="158"/>
      <c r="B38" s="142"/>
      <c r="C38" s="142"/>
      <c r="D38" s="142"/>
      <c r="E38" s="142"/>
      <c r="F38" s="142"/>
      <c r="G38" s="142"/>
      <c r="H38" s="142"/>
    </row>
    <row r="39" spans="1:8" ht="15">
      <c r="A39" s="212" t="s">
        <v>282</v>
      </c>
      <c r="B39" s="212"/>
      <c r="C39" s="212"/>
      <c r="D39" s="159"/>
      <c r="E39" s="160" t="s">
        <v>158</v>
      </c>
      <c r="F39" s="161" t="s">
        <v>159</v>
      </c>
      <c r="G39" s="161"/>
      <c r="H39" s="161" t="s">
        <v>160</v>
      </c>
    </row>
    <row r="40" spans="1:8" ht="15">
      <c r="A40" s="142" t="s">
        <v>265</v>
      </c>
      <c r="B40" s="142"/>
      <c r="C40" s="153"/>
      <c r="D40" s="162"/>
      <c r="E40" s="153"/>
      <c r="F40" s="153"/>
      <c r="G40" s="185"/>
      <c r="H40" s="162"/>
    </row>
    <row r="41" spans="1:8" ht="15">
      <c r="A41" s="142" t="s">
        <v>266</v>
      </c>
      <c r="B41" s="142"/>
      <c r="C41" s="185">
        <v>933655.2</v>
      </c>
      <c r="D41" s="162"/>
      <c r="E41" s="153">
        <v>2157622.2</v>
      </c>
      <c r="F41" s="153">
        <v>1133585</v>
      </c>
      <c r="G41" s="185"/>
      <c r="H41" s="185">
        <f>E41-F41</f>
        <v>1024037.2000000002</v>
      </c>
    </row>
    <row r="42" spans="1:8" ht="15">
      <c r="A42" s="142" t="s">
        <v>267</v>
      </c>
      <c r="B42" s="142"/>
      <c r="C42" s="153"/>
      <c r="D42" s="162"/>
      <c r="E42" s="162">
        <v>10347</v>
      </c>
      <c r="F42" s="153">
        <v>10347</v>
      </c>
      <c r="G42" s="142"/>
      <c r="H42" s="154">
        <v>0</v>
      </c>
    </row>
    <row r="43" spans="1:8" ht="15">
      <c r="A43" s="142"/>
      <c r="B43" s="142"/>
      <c r="C43" s="153"/>
      <c r="D43" s="213"/>
      <c r="E43" s="213"/>
      <c r="F43" s="142"/>
      <c r="G43" s="142"/>
      <c r="H43" s="142"/>
    </row>
    <row r="44" spans="1:8" ht="15.75">
      <c r="A44" s="142"/>
      <c r="B44" s="142"/>
      <c r="C44" s="164"/>
      <c r="D44" s="185"/>
      <c r="E44" s="185"/>
      <c r="F44" s="142"/>
      <c r="G44" s="142"/>
      <c r="H44" s="142"/>
    </row>
    <row r="45" spans="1:8" ht="15.75">
      <c r="A45" s="142"/>
      <c r="B45" s="142"/>
      <c r="C45" s="164"/>
      <c r="D45" s="185"/>
      <c r="E45" s="185"/>
      <c r="F45" s="142"/>
      <c r="G45" s="142"/>
      <c r="H45" s="142"/>
    </row>
    <row r="46" spans="1:8" ht="15.75">
      <c r="A46" s="142"/>
      <c r="B46" s="142"/>
      <c r="C46" s="164"/>
      <c r="D46" s="185"/>
      <c r="E46" s="185"/>
      <c r="F46" s="142"/>
      <c r="G46" s="142"/>
      <c r="H46" s="142"/>
    </row>
    <row r="47" spans="1:8" ht="15">
      <c r="A47" s="142" t="s">
        <v>268</v>
      </c>
      <c r="B47" s="160"/>
      <c r="C47" s="161"/>
      <c r="D47" s="161"/>
      <c r="E47" s="161"/>
      <c r="F47" s="142"/>
      <c r="G47" s="142"/>
      <c r="H47" s="142"/>
    </row>
    <row r="48" spans="1:8" ht="15">
      <c r="A48" s="165" t="s">
        <v>283</v>
      </c>
      <c r="B48" s="153"/>
      <c r="C48" s="153"/>
      <c r="D48" s="185"/>
      <c r="E48" s="162"/>
      <c r="F48" s="162"/>
      <c r="G48" s="142"/>
      <c r="H48" s="142"/>
    </row>
    <row r="49" spans="1:8" ht="15">
      <c r="A49" s="165"/>
      <c r="B49" s="153"/>
      <c r="C49" s="153"/>
      <c r="D49" s="185"/>
      <c r="E49" s="185"/>
      <c r="F49" s="142"/>
      <c r="G49" s="142"/>
      <c r="H49" s="142"/>
    </row>
    <row r="50" spans="1:8" ht="15">
      <c r="A50" s="147"/>
      <c r="B50" s="147"/>
      <c r="C50" s="147"/>
      <c r="D50" s="147"/>
      <c r="E50" s="147"/>
      <c r="F50" s="215"/>
      <c r="G50" s="215"/>
      <c r="H50" s="142"/>
    </row>
    <row r="51" spans="1:8" ht="15">
      <c r="A51" s="166"/>
      <c r="B51" s="166"/>
      <c r="C51" s="166"/>
      <c r="D51" s="166"/>
      <c r="E51" s="166"/>
      <c r="F51" s="216"/>
      <c r="G51" s="216"/>
      <c r="H51" s="142"/>
    </row>
    <row r="52" spans="1:8" ht="15" hidden="1">
      <c r="A52" s="166"/>
      <c r="B52" s="166"/>
      <c r="C52" s="166"/>
      <c r="D52" s="166"/>
      <c r="E52" s="166"/>
      <c r="F52" s="187"/>
      <c r="G52" s="187"/>
      <c r="H52" s="142"/>
    </row>
    <row r="53" spans="1:8" ht="0.75" customHeight="1" hidden="1">
      <c r="A53" s="166"/>
      <c r="B53" s="166"/>
      <c r="C53" s="166"/>
      <c r="D53" s="166"/>
      <c r="E53" s="166"/>
      <c r="F53" s="187"/>
      <c r="G53" s="187"/>
      <c r="H53" s="142"/>
    </row>
    <row r="54" spans="1:8" ht="15">
      <c r="A54" s="142"/>
      <c r="B54" s="147"/>
      <c r="C54" s="142"/>
      <c r="D54" s="142"/>
      <c r="E54" s="142"/>
      <c r="F54" s="213"/>
      <c r="G54" s="213"/>
      <c r="H54" s="142"/>
    </row>
    <row r="55" spans="1:8" ht="15">
      <c r="A55" t="s">
        <v>231</v>
      </c>
      <c r="B55" t="s">
        <v>284</v>
      </c>
      <c r="F55" s="213"/>
      <c r="G55" s="213"/>
      <c r="H55" s="142"/>
    </row>
    <row r="56" spans="2:8" ht="15.75">
      <c r="B56" s="214" t="s">
        <v>270</v>
      </c>
      <c r="C56" s="214"/>
      <c r="F56" s="208"/>
      <c r="G56" s="208"/>
      <c r="H56" s="142"/>
    </row>
    <row r="57" spans="2:8" ht="15">
      <c r="B57" s="186"/>
      <c r="C57" s="186"/>
      <c r="F57" s="213"/>
      <c r="G57" s="213"/>
      <c r="H57" s="142"/>
    </row>
    <row r="58" spans="6:8" ht="15">
      <c r="F58" s="213"/>
      <c r="G58" s="213"/>
      <c r="H58" s="142"/>
    </row>
    <row r="59" spans="1:8" ht="15">
      <c r="A59" s="214" t="s">
        <v>310</v>
      </c>
      <c r="B59" s="214"/>
      <c r="C59" s="214"/>
      <c r="F59" s="213"/>
      <c r="G59" s="213"/>
      <c r="H59" s="142"/>
    </row>
    <row r="60" spans="1:8" ht="15">
      <c r="A60" s="186"/>
      <c r="B60" s="186"/>
      <c r="C60" s="186"/>
      <c r="F60" s="213"/>
      <c r="G60" s="213"/>
      <c r="H60" s="142"/>
    </row>
    <row r="61" spans="6:8" ht="15">
      <c r="F61" s="142"/>
      <c r="G61" s="142"/>
      <c r="H61" s="142"/>
    </row>
    <row r="62" spans="1:8" ht="15">
      <c r="A62" t="s">
        <v>271</v>
      </c>
      <c r="C62" s="170">
        <v>42803</v>
      </c>
      <c r="F62" s="166"/>
      <c r="G62" s="166"/>
      <c r="H62" s="142"/>
    </row>
    <row r="63" spans="3:8" ht="15">
      <c r="C63" s="169"/>
      <c r="F63" s="166"/>
      <c r="G63" s="166"/>
      <c r="H63" s="142"/>
    </row>
    <row r="64" spans="6:8" ht="15">
      <c r="F64" s="142"/>
      <c r="G64" s="142"/>
      <c r="H64" s="142"/>
    </row>
    <row r="65" spans="1:3" ht="15">
      <c r="A65" t="s">
        <v>235</v>
      </c>
      <c r="B65" s="169"/>
      <c r="C65" s="170">
        <v>42807</v>
      </c>
    </row>
    <row r="66" spans="2:3" ht="15">
      <c r="B66" s="169"/>
      <c r="C66" s="169"/>
    </row>
    <row r="67" ht="15">
      <c r="B67" s="169"/>
    </row>
    <row r="68" spans="1:3" ht="15">
      <c r="A68" t="s">
        <v>236</v>
      </c>
      <c r="B68" s="169"/>
      <c r="C68" s="170">
        <v>42823</v>
      </c>
    </row>
  </sheetData>
  <sheetProtection/>
  <mergeCells count="17">
    <mergeCell ref="F56:G56"/>
    <mergeCell ref="A1:E1"/>
    <mergeCell ref="A3:E4"/>
    <mergeCell ref="A21:B21"/>
    <mergeCell ref="A27:B27"/>
    <mergeCell ref="A39:C39"/>
    <mergeCell ref="D43:E43"/>
    <mergeCell ref="F57:G57"/>
    <mergeCell ref="F58:G58"/>
    <mergeCell ref="A59:C59"/>
    <mergeCell ref="F59:G59"/>
    <mergeCell ref="F60:G60"/>
    <mergeCell ref="F50:G50"/>
    <mergeCell ref="F51:G51"/>
    <mergeCell ref="F54:G54"/>
    <mergeCell ref="F55:G55"/>
    <mergeCell ref="B56:C56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301"/>
  <sheetViews>
    <sheetView zoomScalePageLayoutView="0" workbookViewId="0" topLeftCell="A292">
      <selection activeCell="A3" sqref="A3:F3"/>
    </sheetView>
  </sheetViews>
  <sheetFormatPr defaultColWidth="9.140625" defaultRowHeight="15"/>
  <cols>
    <col min="1" max="1" width="9.8515625" style="2" customWidth="1"/>
    <col min="2" max="2" width="20.57421875" style="2" customWidth="1"/>
    <col min="3" max="3" width="15.8515625" style="2" customWidth="1"/>
    <col min="4" max="6" width="16.7109375" style="2" customWidth="1"/>
    <col min="7" max="7" width="13.8515625" style="2" bestFit="1" customWidth="1"/>
    <col min="8" max="8" width="11.28125" style="2" bestFit="1" customWidth="1"/>
    <col min="9" max="9" width="9.140625" style="2" customWidth="1"/>
    <col min="10" max="10" width="12.140625" style="20" customWidth="1"/>
    <col min="11" max="14" width="9.140625" style="2" customWidth="1"/>
    <col min="15" max="15" width="7.7109375" style="2" customWidth="1"/>
    <col min="16" max="16384" width="9.140625" style="2" customWidth="1"/>
  </cols>
  <sheetData>
    <row r="1" spans="1:6" ht="46.5" customHeight="1">
      <c r="A1" s="1"/>
      <c r="B1" s="204" t="s">
        <v>0</v>
      </c>
      <c r="C1" s="204"/>
      <c r="D1" s="204"/>
      <c r="E1" s="204"/>
      <c r="F1" s="204"/>
    </row>
    <row r="2" spans="1:6" ht="101.25" customHeight="1">
      <c r="A2" s="1"/>
      <c r="B2" s="205" t="s">
        <v>1</v>
      </c>
      <c r="C2" s="205"/>
      <c r="D2" s="205"/>
      <c r="E2" s="205"/>
      <c r="F2" s="205"/>
    </row>
    <row r="3" spans="1:6" ht="46.5" customHeight="1">
      <c r="A3" s="206" t="s">
        <v>311</v>
      </c>
      <c r="B3" s="206"/>
      <c r="C3" s="206"/>
      <c r="D3" s="206"/>
      <c r="E3" s="206"/>
      <c r="F3" s="206"/>
    </row>
    <row r="4" spans="1:6" ht="21" customHeight="1">
      <c r="A4" s="207" t="s">
        <v>3</v>
      </c>
      <c r="B4" s="207"/>
      <c r="C4" s="207"/>
      <c r="D4" s="207"/>
      <c r="E4" s="207"/>
      <c r="F4" s="207"/>
    </row>
    <row r="5" spans="1:6" ht="21" customHeight="1">
      <c r="A5" s="207"/>
      <c r="B5" s="207"/>
      <c r="C5" s="207"/>
      <c r="D5" s="207"/>
      <c r="E5" s="207"/>
      <c r="F5" s="207"/>
    </row>
    <row r="6" spans="1:5" ht="81.75" customHeight="1">
      <c r="A6" s="182"/>
      <c r="B6" s="182"/>
      <c r="C6" s="182"/>
      <c r="D6" s="182"/>
      <c r="E6" s="182"/>
    </row>
    <row r="7" spans="1:10" s="5" customFormat="1" ht="19.5" customHeight="1">
      <c r="A7" s="4" t="s">
        <v>4</v>
      </c>
      <c r="B7" s="202" t="s">
        <v>279</v>
      </c>
      <c r="C7" s="202"/>
      <c r="D7" s="202"/>
      <c r="E7" s="202"/>
      <c r="J7" s="25"/>
    </row>
    <row r="8" spans="1:10" s="8" customFormat="1" ht="15" customHeight="1">
      <c r="A8" s="6"/>
      <c r="B8" s="7" t="s">
        <v>6</v>
      </c>
      <c r="C8" s="201" t="s">
        <v>285</v>
      </c>
      <c r="D8" s="201"/>
      <c r="E8" s="201"/>
      <c r="F8" s="201"/>
      <c r="J8" s="25"/>
    </row>
    <row r="9" spans="1:10" s="8" customFormat="1" ht="15" customHeight="1">
      <c r="A9" s="6"/>
      <c r="B9" s="7" t="s">
        <v>8</v>
      </c>
      <c r="C9" s="201" t="s">
        <v>9</v>
      </c>
      <c r="D9" s="201"/>
      <c r="E9" s="201"/>
      <c r="F9" s="201"/>
      <c r="J9" s="25"/>
    </row>
    <row r="10" spans="1:10" s="8" customFormat="1" ht="15" customHeight="1">
      <c r="A10" s="6"/>
      <c r="B10" s="7" t="s">
        <v>10</v>
      </c>
      <c r="C10" s="201" t="s">
        <v>11</v>
      </c>
      <c r="D10" s="201"/>
      <c r="E10" s="201"/>
      <c r="F10" s="201"/>
      <c r="J10" s="25"/>
    </row>
    <row r="11" spans="1:10" s="8" customFormat="1" ht="15" customHeight="1">
      <c r="A11" s="6"/>
      <c r="B11" s="7" t="s">
        <v>12</v>
      </c>
      <c r="C11" s="201" t="s">
        <v>13</v>
      </c>
      <c r="D11" s="201"/>
      <c r="E11" s="201"/>
      <c r="F11" s="201"/>
      <c r="J11" s="25"/>
    </row>
    <row r="12" spans="1:10" s="8" customFormat="1" ht="15" customHeight="1">
      <c r="A12" s="6"/>
      <c r="B12" s="7" t="s">
        <v>14</v>
      </c>
      <c r="C12" s="201" t="s">
        <v>15</v>
      </c>
      <c r="D12" s="201"/>
      <c r="E12" s="201"/>
      <c r="F12" s="201"/>
      <c r="J12" s="25"/>
    </row>
    <row r="13" spans="1:10" s="8" customFormat="1" ht="15" customHeight="1">
      <c r="A13" s="6"/>
      <c r="B13" s="7" t="s">
        <v>16</v>
      </c>
      <c r="C13" s="201" t="s">
        <v>17</v>
      </c>
      <c r="D13" s="201"/>
      <c r="E13" s="201"/>
      <c r="F13" s="201"/>
      <c r="J13" s="25"/>
    </row>
    <row r="14" spans="1:10" s="8" customFormat="1" ht="15" customHeight="1">
      <c r="A14" s="6"/>
      <c r="B14" s="7" t="s">
        <v>18</v>
      </c>
      <c r="C14" s="201" t="s">
        <v>19</v>
      </c>
      <c r="D14" s="201"/>
      <c r="E14" s="180"/>
      <c r="F14" s="180"/>
      <c r="J14" s="25"/>
    </row>
    <row r="15" spans="1:10" s="8" customFormat="1" ht="15" customHeight="1">
      <c r="A15" s="6"/>
      <c r="B15" s="7" t="s">
        <v>20</v>
      </c>
      <c r="C15" s="201" t="s">
        <v>21</v>
      </c>
      <c r="D15" s="201"/>
      <c r="E15" s="201"/>
      <c r="F15" s="201"/>
      <c r="J15" s="25"/>
    </row>
    <row r="16" spans="1:10" s="8" customFormat="1" ht="15" customHeight="1">
      <c r="A16" s="6"/>
      <c r="B16" s="7" t="s">
        <v>22</v>
      </c>
      <c r="C16" s="180" t="s">
        <v>23</v>
      </c>
      <c r="D16" s="180"/>
      <c r="E16" s="180"/>
      <c r="F16" s="180"/>
      <c r="J16" s="25"/>
    </row>
    <row r="17" spans="1:10" s="8" customFormat="1" ht="15" customHeight="1">
      <c r="A17" s="6"/>
      <c r="B17" s="7"/>
      <c r="C17" s="180"/>
      <c r="D17" s="180"/>
      <c r="E17" s="180"/>
      <c r="F17" s="180"/>
      <c r="J17" s="25"/>
    </row>
    <row r="18" spans="1:10" s="8" customFormat="1" ht="19.5" customHeight="1">
      <c r="A18" s="4" t="s">
        <v>24</v>
      </c>
      <c r="B18" s="202" t="s">
        <v>286</v>
      </c>
      <c r="C18" s="202"/>
      <c r="D18" s="202"/>
      <c r="E18" s="202"/>
      <c r="J18" s="25"/>
    </row>
    <row r="19" spans="1:10" s="8" customFormat="1" ht="15" customHeight="1">
      <c r="A19" s="4"/>
      <c r="B19" s="7" t="s">
        <v>6</v>
      </c>
      <c r="C19" s="180" t="s">
        <v>26</v>
      </c>
      <c r="D19" s="203" t="s">
        <v>27</v>
      </c>
      <c r="E19" s="181"/>
      <c r="J19" s="25"/>
    </row>
    <row r="20" spans="1:10" s="8" customFormat="1" ht="15" customHeight="1">
      <c r="A20" s="4"/>
      <c r="B20" s="7" t="s">
        <v>8</v>
      </c>
      <c r="C20" s="180" t="s">
        <v>28</v>
      </c>
      <c r="D20" s="203"/>
      <c r="E20" s="181"/>
      <c r="J20" s="25"/>
    </row>
    <row r="21" spans="1:10" s="8" customFormat="1" ht="15" customHeight="1">
      <c r="A21" s="4"/>
      <c r="B21" s="7" t="s">
        <v>10</v>
      </c>
      <c r="C21" s="180" t="s">
        <v>29</v>
      </c>
      <c r="D21" s="203" t="s">
        <v>30</v>
      </c>
      <c r="E21" s="181"/>
      <c r="J21" s="25"/>
    </row>
    <row r="22" spans="1:10" s="8" customFormat="1" ht="15" customHeight="1">
      <c r="A22" s="4"/>
      <c r="B22" s="7" t="s">
        <v>12</v>
      </c>
      <c r="C22" s="180" t="s">
        <v>31</v>
      </c>
      <c r="D22" s="203"/>
      <c r="E22" s="181"/>
      <c r="J22" s="25"/>
    </row>
    <row r="23" spans="1:10" s="8" customFormat="1" ht="19.5" customHeight="1">
      <c r="A23" s="4"/>
      <c r="B23" s="181"/>
      <c r="C23" s="181"/>
      <c r="D23" s="181"/>
      <c r="E23" s="181"/>
      <c r="J23" s="25"/>
    </row>
    <row r="24" spans="1:10" s="8" customFormat="1" ht="19.5" customHeight="1">
      <c r="A24" s="4" t="s">
        <v>32</v>
      </c>
      <c r="B24" s="202" t="s">
        <v>33</v>
      </c>
      <c r="C24" s="202"/>
      <c r="D24" s="202"/>
      <c r="E24" s="202"/>
      <c r="J24" s="25"/>
    </row>
    <row r="25" spans="1:10" s="8" customFormat="1" ht="15" customHeight="1">
      <c r="A25" s="4"/>
      <c r="B25" s="7" t="s">
        <v>6</v>
      </c>
      <c r="C25" s="201" t="s">
        <v>34</v>
      </c>
      <c r="D25" s="201"/>
      <c r="E25" s="201"/>
      <c r="F25" s="201"/>
      <c r="J25" s="25"/>
    </row>
    <row r="26" spans="1:10" s="8" customFormat="1" ht="19.5" customHeight="1">
      <c r="A26" s="4"/>
      <c r="B26" s="181"/>
      <c r="C26" s="181"/>
      <c r="D26" s="181"/>
      <c r="E26" s="181"/>
      <c r="J26" s="25"/>
    </row>
    <row r="27" spans="1:10" s="8" customFormat="1" ht="19.5" customHeight="1">
      <c r="A27" s="4"/>
      <c r="B27" s="181"/>
      <c r="C27" s="181"/>
      <c r="D27" s="181"/>
      <c r="E27" s="181"/>
      <c r="J27" s="25"/>
    </row>
    <row r="28" spans="1:10" s="8" customFormat="1" ht="19.5" customHeight="1">
      <c r="A28" s="4" t="s">
        <v>35</v>
      </c>
      <c r="B28" s="202" t="s">
        <v>287</v>
      </c>
      <c r="C28" s="202"/>
      <c r="D28" s="202"/>
      <c r="E28" s="202"/>
      <c r="J28" s="25"/>
    </row>
    <row r="29" spans="1:10" s="8" customFormat="1" ht="19.5" customHeight="1">
      <c r="A29" s="4"/>
      <c r="B29" s="181"/>
      <c r="C29" s="180" t="s">
        <v>37</v>
      </c>
      <c r="D29" s="181"/>
      <c r="E29" s="181"/>
      <c r="J29" s="25"/>
    </row>
    <row r="30" spans="1:10" s="8" customFormat="1" ht="19.5" customHeight="1">
      <c r="A30" s="4"/>
      <c r="B30" s="181"/>
      <c r="C30" s="181"/>
      <c r="D30" s="181"/>
      <c r="E30" s="181"/>
      <c r="J30" s="25"/>
    </row>
    <row r="31" spans="1:10" s="8" customFormat="1" ht="19.5" customHeight="1">
      <c r="A31" s="4"/>
      <c r="B31" s="181"/>
      <c r="C31" s="181"/>
      <c r="D31" s="181"/>
      <c r="E31" s="181"/>
      <c r="J31" s="25"/>
    </row>
    <row r="32" spans="1:11" ht="18.75">
      <c r="A32" s="11" t="s">
        <v>288</v>
      </c>
      <c r="K32" s="12"/>
    </row>
    <row r="33" ht="12" customHeight="1">
      <c r="A33" s="11"/>
    </row>
    <row r="34" spans="1:10" s="8" customFormat="1" ht="18" customHeight="1">
      <c r="A34" s="13" t="s">
        <v>289</v>
      </c>
      <c r="B34" s="14"/>
      <c r="C34" s="14"/>
      <c r="D34" s="14"/>
      <c r="E34" s="14"/>
      <c r="F34" s="14"/>
      <c r="J34" s="25"/>
    </row>
    <row r="35" ht="12" customHeight="1">
      <c r="A35" s="11"/>
    </row>
    <row r="36" spans="1:10" s="19" customFormat="1" ht="15.75">
      <c r="A36" s="15"/>
      <c r="B36" s="15"/>
      <c r="C36" s="15"/>
      <c r="D36" s="16" t="s">
        <v>40</v>
      </c>
      <c r="E36" s="17" t="s">
        <v>41</v>
      </c>
      <c r="F36" s="18" t="s">
        <v>42</v>
      </c>
      <c r="J36" s="135"/>
    </row>
    <row r="37" spans="1:10" s="8" customFormat="1" ht="15.75">
      <c r="A37" s="8" t="s">
        <v>43</v>
      </c>
      <c r="B37" s="8" t="s">
        <v>9</v>
      </c>
      <c r="D37" s="20">
        <v>11174000</v>
      </c>
      <c r="E37" s="20">
        <v>13171926</v>
      </c>
      <c r="F37" s="21">
        <v>13172555.87</v>
      </c>
      <c r="J37" s="25"/>
    </row>
    <row r="38" spans="1:10" s="8" customFormat="1" ht="15.75">
      <c r="A38" s="8" t="s">
        <v>44</v>
      </c>
      <c r="B38" s="8" t="s">
        <v>11</v>
      </c>
      <c r="D38" s="20">
        <v>4249400</v>
      </c>
      <c r="E38" s="20">
        <v>5242853</v>
      </c>
      <c r="F38" s="21">
        <v>5235834.77</v>
      </c>
      <c r="J38" s="25"/>
    </row>
    <row r="39" spans="1:10" s="8" customFormat="1" ht="15.75">
      <c r="A39" s="8" t="s">
        <v>45</v>
      </c>
      <c r="B39" s="8" t="s">
        <v>13</v>
      </c>
      <c r="D39" s="20">
        <v>100000</v>
      </c>
      <c r="E39" s="20">
        <v>481488</v>
      </c>
      <c r="F39" s="21">
        <v>481488</v>
      </c>
      <c r="J39" s="25"/>
    </row>
    <row r="40" spans="1:10" s="8" customFormat="1" ht="15.75">
      <c r="A40" s="8" t="s">
        <v>46</v>
      </c>
      <c r="B40" s="8" t="s">
        <v>15</v>
      </c>
      <c r="D40" s="20">
        <v>415490</v>
      </c>
      <c r="E40" s="20">
        <v>796008</v>
      </c>
      <c r="F40" s="21">
        <v>796008</v>
      </c>
      <c r="J40" s="25"/>
    </row>
    <row r="41" spans="1:10" s="8" customFormat="1" ht="15" customHeight="1">
      <c r="A41" s="202" t="s">
        <v>47</v>
      </c>
      <c r="B41" s="202"/>
      <c r="D41" s="22">
        <f>SUM(D37:D40)</f>
        <v>15938890</v>
      </c>
      <c r="E41" s="22">
        <f>SUM(E37:E40)</f>
        <v>19692275</v>
      </c>
      <c r="F41" s="23">
        <f>SUM(F37:F40)</f>
        <v>19685886.64</v>
      </c>
      <c r="J41" s="25"/>
    </row>
    <row r="42" spans="4:10" s="8" customFormat="1" ht="15.75">
      <c r="D42" s="2"/>
      <c r="E42" s="2"/>
      <c r="F42" s="24"/>
      <c r="J42" s="25"/>
    </row>
    <row r="43" spans="1:10" s="8" customFormat="1" ht="15.75">
      <c r="A43" s="8" t="s">
        <v>48</v>
      </c>
      <c r="B43" s="8" t="s">
        <v>17</v>
      </c>
      <c r="D43" s="20">
        <v>8568040</v>
      </c>
      <c r="E43" s="20">
        <v>12745045</v>
      </c>
      <c r="F43" s="21">
        <v>12740469.85</v>
      </c>
      <c r="J43" s="25"/>
    </row>
    <row r="44" spans="1:10" s="8" customFormat="1" ht="15.75">
      <c r="A44" s="8" t="s">
        <v>49</v>
      </c>
      <c r="B44" s="8" t="s">
        <v>19</v>
      </c>
      <c r="D44" s="20">
        <v>10425474.92</v>
      </c>
      <c r="E44" s="20">
        <v>13135566.92</v>
      </c>
      <c r="F44" s="21">
        <v>13135567.42</v>
      </c>
      <c r="J44" s="25"/>
    </row>
    <row r="45" spans="1:10" s="8" customFormat="1" ht="14.25" customHeight="1">
      <c r="A45" s="202" t="s">
        <v>50</v>
      </c>
      <c r="B45" s="202"/>
      <c r="D45" s="22">
        <f>SUM(D43:D44)</f>
        <v>18993514.92</v>
      </c>
      <c r="E45" s="22">
        <f>SUM(E43:E44)</f>
        <v>25880611.92</v>
      </c>
      <c r="F45" s="23">
        <f>SUM(F43:F44)</f>
        <v>25876037.27</v>
      </c>
      <c r="J45" s="25"/>
    </row>
    <row r="46" spans="4:10" s="8" customFormat="1" ht="15.75">
      <c r="D46" s="2"/>
      <c r="E46" s="2"/>
      <c r="F46" s="24"/>
      <c r="J46" s="25"/>
    </row>
    <row r="47" spans="1:10" s="8" customFormat="1" ht="15.75">
      <c r="A47" s="8" t="s">
        <v>51</v>
      </c>
      <c r="B47" s="8" t="s">
        <v>21</v>
      </c>
      <c r="D47" s="20">
        <v>3054624.92</v>
      </c>
      <c r="E47" s="20">
        <v>6188336.92</v>
      </c>
      <c r="F47" s="21">
        <v>6190150.63</v>
      </c>
      <c r="J47" s="25"/>
    </row>
    <row r="48" spans="1:10" s="8" customFormat="1" ht="15.75" hidden="1">
      <c r="A48" s="201" t="s">
        <v>52</v>
      </c>
      <c r="B48" s="201"/>
      <c r="C48" s="25">
        <v>-1700700</v>
      </c>
      <c r="D48" s="20">
        <v>-5244462</v>
      </c>
      <c r="E48" s="21">
        <v>-4692544.95</v>
      </c>
      <c r="F48" s="25"/>
      <c r="J48" s="25"/>
    </row>
    <row r="49" spans="1:10" s="8" customFormat="1" ht="15.75" hidden="1">
      <c r="A49" s="201" t="s">
        <v>53</v>
      </c>
      <c r="B49" s="201"/>
      <c r="D49" s="20">
        <v>999920</v>
      </c>
      <c r="E49" s="21">
        <v>999920</v>
      </c>
      <c r="F49" s="25"/>
      <c r="J49" s="25"/>
    </row>
    <row r="50" spans="1:10" s="8" customFormat="1" ht="15.75" hidden="1">
      <c r="A50" s="201" t="s">
        <v>54</v>
      </c>
      <c r="B50" s="201"/>
      <c r="C50" s="25">
        <v>-840000</v>
      </c>
      <c r="D50" s="20">
        <v>-840000</v>
      </c>
      <c r="E50" s="21">
        <v>-1398240</v>
      </c>
      <c r="F50" s="25"/>
      <c r="J50" s="25"/>
    </row>
    <row r="51" spans="4:10" s="8" customFormat="1" ht="15.75" hidden="1">
      <c r="D51" s="2"/>
      <c r="E51" s="26"/>
      <c r="J51" s="25"/>
    </row>
    <row r="52" spans="1:10" s="5" customFormat="1" ht="15.75">
      <c r="A52" s="5" t="s">
        <v>55</v>
      </c>
      <c r="C52" s="27"/>
      <c r="D52" s="22">
        <f>D47</f>
        <v>3054624.92</v>
      </c>
      <c r="E52" s="22">
        <f>E47</f>
        <v>6188336.92</v>
      </c>
      <c r="F52" s="23">
        <f>F47</f>
        <v>6190150.63</v>
      </c>
      <c r="J52" s="25"/>
    </row>
    <row r="53" s="8" customFormat="1" ht="15.75">
      <c r="J53" s="25"/>
    </row>
    <row r="54" spans="1:6" ht="15">
      <c r="A54" s="28"/>
      <c r="B54" s="28"/>
      <c r="C54" s="28"/>
      <c r="D54" s="28"/>
      <c r="E54" s="28"/>
      <c r="F54" s="28"/>
    </row>
    <row r="55" spans="1:10" s="29" customFormat="1" ht="15.75">
      <c r="A55" s="13" t="s">
        <v>56</v>
      </c>
      <c r="B55" s="13"/>
      <c r="C55" s="13"/>
      <c r="D55" s="13"/>
      <c r="E55" s="13"/>
      <c r="F55" s="13"/>
      <c r="J55" s="20"/>
    </row>
    <row r="56" spans="1:6" ht="15.75">
      <c r="A56" s="30"/>
      <c r="B56" s="31"/>
      <c r="C56" s="31"/>
      <c r="D56" s="17" t="s">
        <v>40</v>
      </c>
      <c r="E56" s="17" t="s">
        <v>41</v>
      </c>
      <c r="F56" s="18" t="s">
        <v>42</v>
      </c>
    </row>
    <row r="57" spans="1:10" s="29" customFormat="1" ht="15.75">
      <c r="A57" s="5" t="s">
        <v>57</v>
      </c>
      <c r="B57" s="5"/>
      <c r="C57" s="5"/>
      <c r="D57" s="22">
        <f>SUM(D58:D63)</f>
        <v>9970000</v>
      </c>
      <c r="E57" s="22">
        <f>SUM(E58:E63)</f>
        <v>11819938</v>
      </c>
      <c r="F57" s="23">
        <f>SUM(F58:F63)</f>
        <v>11819937.52</v>
      </c>
      <c r="J57" s="20"/>
    </row>
    <row r="58" spans="1:10" s="34" customFormat="1" ht="15.75">
      <c r="A58" s="32">
        <v>1111</v>
      </c>
      <c r="B58" s="33" t="s">
        <v>58</v>
      </c>
      <c r="C58" s="33"/>
      <c r="D58" s="20">
        <v>1900000</v>
      </c>
      <c r="E58" s="20">
        <v>2488330</v>
      </c>
      <c r="F58" s="21">
        <v>2488330.08</v>
      </c>
      <c r="J58" s="63"/>
    </row>
    <row r="59" spans="1:10" s="34" customFormat="1" ht="15.75">
      <c r="A59" s="32">
        <v>1112</v>
      </c>
      <c r="B59" s="33" t="s">
        <v>59</v>
      </c>
      <c r="C59" s="33"/>
      <c r="D59" s="20">
        <v>320000</v>
      </c>
      <c r="E59" s="20">
        <v>184706</v>
      </c>
      <c r="F59" s="21">
        <v>184705.36</v>
      </c>
      <c r="J59" s="63"/>
    </row>
    <row r="60" spans="1:10" s="34" customFormat="1" ht="15.75">
      <c r="A60" s="32">
        <v>1113</v>
      </c>
      <c r="B60" s="33" t="s">
        <v>60</v>
      </c>
      <c r="C60" s="33"/>
      <c r="D60" s="20">
        <v>250000</v>
      </c>
      <c r="E60" s="20">
        <v>271748</v>
      </c>
      <c r="F60" s="21">
        <v>271748.02</v>
      </c>
      <c r="J60" s="63"/>
    </row>
    <row r="61" spans="1:10" s="34" customFormat="1" ht="15.75">
      <c r="A61" s="32">
        <v>1121</v>
      </c>
      <c r="B61" s="33" t="s">
        <v>61</v>
      </c>
      <c r="C61" s="33"/>
      <c r="D61" s="20">
        <v>2400000</v>
      </c>
      <c r="E61" s="20">
        <v>2913373</v>
      </c>
      <c r="F61" s="21">
        <v>2913373.21</v>
      </c>
      <c r="J61" s="63"/>
    </row>
    <row r="62" spans="1:10" s="34" customFormat="1" ht="15.75">
      <c r="A62" s="32">
        <v>1122</v>
      </c>
      <c r="B62" s="33" t="s">
        <v>62</v>
      </c>
      <c r="C62" s="33"/>
      <c r="D62" s="20">
        <v>600000</v>
      </c>
      <c r="E62" s="20">
        <v>618640</v>
      </c>
      <c r="F62" s="21">
        <v>618640</v>
      </c>
      <c r="J62" s="63"/>
    </row>
    <row r="63" spans="1:10" s="34" customFormat="1" ht="15.75">
      <c r="A63" s="32">
        <v>1211</v>
      </c>
      <c r="B63" s="33" t="s">
        <v>63</v>
      </c>
      <c r="C63" s="33"/>
      <c r="D63" s="20">
        <v>4500000</v>
      </c>
      <c r="E63" s="20">
        <v>5343141</v>
      </c>
      <c r="F63" s="21">
        <v>5343140.85</v>
      </c>
      <c r="J63" s="63"/>
    </row>
    <row r="64" spans="1:10" s="29" customFormat="1" ht="15.75">
      <c r="A64" s="35" t="s">
        <v>64</v>
      </c>
      <c r="B64" s="35"/>
      <c r="C64" s="5"/>
      <c r="D64" s="22">
        <f>SUM(D65:D70)</f>
        <v>522000</v>
      </c>
      <c r="E64" s="22">
        <f>SUM(E65:E70)</f>
        <v>462040</v>
      </c>
      <c r="F64" s="23">
        <f>SUM(F65:F70)</f>
        <v>462040</v>
      </c>
      <c r="J64" s="20"/>
    </row>
    <row r="65" spans="1:10" s="34" customFormat="1" ht="15.75">
      <c r="A65" s="32">
        <v>1334</v>
      </c>
      <c r="B65" s="36" t="s">
        <v>65</v>
      </c>
      <c r="C65" s="36"/>
      <c r="D65" s="20">
        <v>20000</v>
      </c>
      <c r="E65" s="20">
        <v>1828</v>
      </c>
      <c r="F65" s="37">
        <v>1828</v>
      </c>
      <c r="J65" s="63"/>
    </row>
    <row r="66" spans="1:10" s="34" customFormat="1" ht="15.75">
      <c r="A66" s="32">
        <v>1335</v>
      </c>
      <c r="B66" s="36" t="s">
        <v>66</v>
      </c>
      <c r="C66" s="36"/>
      <c r="D66" s="20"/>
      <c r="E66" s="20">
        <v>59</v>
      </c>
      <c r="F66" s="37">
        <v>59</v>
      </c>
      <c r="H66" s="36"/>
      <c r="J66" s="63"/>
    </row>
    <row r="67" spans="1:10" s="34" customFormat="1" ht="15.75">
      <c r="A67" s="32">
        <v>1340</v>
      </c>
      <c r="B67" s="36" t="s">
        <v>67</v>
      </c>
      <c r="C67" s="36"/>
      <c r="D67" s="20">
        <v>450000</v>
      </c>
      <c r="E67" s="20">
        <v>414735</v>
      </c>
      <c r="F67" s="37">
        <v>414735</v>
      </c>
      <c r="J67" s="63"/>
    </row>
    <row r="68" spans="1:10" s="34" customFormat="1" ht="15.75">
      <c r="A68" s="32">
        <v>1341</v>
      </c>
      <c r="B68" s="36" t="s">
        <v>68</v>
      </c>
      <c r="C68" s="36"/>
      <c r="D68" s="20">
        <v>30000</v>
      </c>
      <c r="E68" s="20">
        <v>26766</v>
      </c>
      <c r="F68" s="37">
        <v>26766</v>
      </c>
      <c r="J68" s="63"/>
    </row>
    <row r="69" spans="1:10" s="34" customFormat="1" ht="15.75">
      <c r="A69" s="32">
        <v>1343</v>
      </c>
      <c r="B69" s="36" t="s">
        <v>69</v>
      </c>
      <c r="C69" s="36"/>
      <c r="D69" s="20">
        <v>15000</v>
      </c>
      <c r="E69" s="20">
        <v>13100</v>
      </c>
      <c r="F69" s="37">
        <v>13100</v>
      </c>
      <c r="J69" s="63"/>
    </row>
    <row r="70" spans="1:10" s="34" customFormat="1" ht="15.75">
      <c r="A70" s="32">
        <v>1345</v>
      </c>
      <c r="B70" s="36" t="s">
        <v>70</v>
      </c>
      <c r="C70" s="36"/>
      <c r="D70" s="20">
        <v>7000</v>
      </c>
      <c r="E70" s="20">
        <v>5552</v>
      </c>
      <c r="F70" s="37">
        <v>5552</v>
      </c>
      <c r="J70" s="63"/>
    </row>
    <row r="71" spans="1:10" s="29" customFormat="1" ht="15.75">
      <c r="A71" s="35" t="s">
        <v>71</v>
      </c>
      <c r="B71" s="35"/>
      <c r="C71" s="5"/>
      <c r="D71" s="22">
        <f>D72+D73</f>
        <v>50000</v>
      </c>
      <c r="E71" s="22">
        <f>E72+E73</f>
        <v>56937</v>
      </c>
      <c r="F71" s="23">
        <f>F72+F73</f>
        <v>57567.78</v>
      </c>
      <c r="J71" s="20"/>
    </row>
    <row r="72" spans="1:10" s="34" customFormat="1" ht="15.75" customHeight="1">
      <c r="A72" s="32">
        <v>1351</v>
      </c>
      <c r="B72" s="36" t="s">
        <v>72</v>
      </c>
      <c r="C72" s="36"/>
      <c r="D72" s="20">
        <v>50000</v>
      </c>
      <c r="E72" s="20">
        <v>54000</v>
      </c>
      <c r="F72" s="37">
        <v>54630.92</v>
      </c>
      <c r="J72" s="63"/>
    </row>
    <row r="73" spans="1:10" s="34" customFormat="1" ht="15.75">
      <c r="A73" s="32">
        <v>1355</v>
      </c>
      <c r="B73" s="36" t="s">
        <v>73</v>
      </c>
      <c r="C73" s="36"/>
      <c r="D73" s="20">
        <v>0</v>
      </c>
      <c r="E73" s="20">
        <v>2937</v>
      </c>
      <c r="F73" s="37">
        <v>2936.86</v>
      </c>
      <c r="J73" s="63"/>
    </row>
    <row r="74" spans="1:10" s="29" customFormat="1" ht="15.75">
      <c r="A74" s="35" t="s">
        <v>74</v>
      </c>
      <c r="B74" s="35"/>
      <c r="C74" s="5"/>
      <c r="D74" s="22">
        <v>12000</v>
      </c>
      <c r="E74" s="22">
        <v>15400</v>
      </c>
      <c r="F74" s="23">
        <v>15400</v>
      </c>
      <c r="J74" s="20"/>
    </row>
    <row r="75" spans="1:10" s="29" customFormat="1" ht="15.75">
      <c r="A75" s="38" t="s">
        <v>75</v>
      </c>
      <c r="B75" s="38"/>
      <c r="C75" s="30"/>
      <c r="D75" s="22">
        <v>620000</v>
      </c>
      <c r="E75" s="22">
        <v>817611</v>
      </c>
      <c r="F75" s="23">
        <v>817610.57</v>
      </c>
      <c r="J75" s="20"/>
    </row>
    <row r="76" spans="1:10" s="29" customFormat="1" ht="15.75">
      <c r="A76" s="39" t="s">
        <v>76</v>
      </c>
      <c r="B76" s="39"/>
      <c r="C76" s="5"/>
      <c r="D76" s="40">
        <f>D57+D64+D75+D74+D71</f>
        <v>11174000</v>
      </c>
      <c r="E76" s="40">
        <f>E57+E64+E74+E75+E71</f>
        <v>13171926</v>
      </c>
      <c r="F76" s="41">
        <f>F57+F64+F74+F75+F71</f>
        <v>13172555.87</v>
      </c>
      <c r="G76" s="22">
        <f>F37-F76</f>
        <v>0</v>
      </c>
      <c r="J76" s="20"/>
    </row>
    <row r="77" spans="3:10" s="42" customFormat="1" ht="15">
      <c r="C77" s="43"/>
      <c r="D77" s="43"/>
      <c r="E77" s="43"/>
      <c r="J77" s="43"/>
    </row>
    <row r="78" spans="1:6" ht="15">
      <c r="A78" s="28"/>
      <c r="B78" s="28"/>
      <c r="C78" s="28"/>
      <c r="D78" s="28"/>
      <c r="E78" s="28"/>
      <c r="F78" s="28"/>
    </row>
    <row r="79" spans="1:6" ht="15.75">
      <c r="A79" s="13" t="s">
        <v>77</v>
      </c>
      <c r="B79" s="14"/>
      <c r="C79" s="14"/>
      <c r="D79" s="14"/>
      <c r="E79" s="14"/>
      <c r="F79" s="14"/>
    </row>
    <row r="80" spans="1:6" ht="15.75">
      <c r="A80" s="44"/>
      <c r="B80" s="45"/>
      <c r="C80" s="45"/>
      <c r="D80" s="17" t="s">
        <v>40</v>
      </c>
      <c r="E80" s="17" t="s">
        <v>41</v>
      </c>
      <c r="F80" s="18" t="s">
        <v>42</v>
      </c>
    </row>
    <row r="81" spans="1:6" ht="15.75" customHeight="1">
      <c r="A81" s="32">
        <v>2111</v>
      </c>
      <c r="B81" s="8" t="s">
        <v>78</v>
      </c>
      <c r="C81" s="8"/>
      <c r="D81" s="20">
        <v>1390000</v>
      </c>
      <c r="E81" s="20">
        <v>2074600</v>
      </c>
      <c r="F81" s="23">
        <v>2074558.64</v>
      </c>
    </row>
    <row r="82" spans="1:6" ht="15.75" customHeight="1">
      <c r="A82" s="32">
        <v>2112</v>
      </c>
      <c r="B82" s="8" t="s">
        <v>79</v>
      </c>
      <c r="C82" s="8"/>
      <c r="D82" s="20">
        <v>50000</v>
      </c>
      <c r="E82" s="20">
        <v>67300</v>
      </c>
      <c r="F82" s="23">
        <v>67253.99</v>
      </c>
    </row>
    <row r="83" spans="1:6" ht="15.75" customHeight="1">
      <c r="A83" s="32">
        <v>2119</v>
      </c>
      <c r="B83" s="8" t="s">
        <v>80</v>
      </c>
      <c r="C83" s="8"/>
      <c r="D83" s="20"/>
      <c r="E83" s="20">
        <v>6000</v>
      </c>
      <c r="F83" s="23">
        <v>5945</v>
      </c>
    </row>
    <row r="84" spans="1:6" ht="15.75" customHeight="1">
      <c r="A84" s="32">
        <v>2131</v>
      </c>
      <c r="B84" s="8" t="s">
        <v>81</v>
      </c>
      <c r="C84" s="8"/>
      <c r="D84" s="20">
        <v>1530000</v>
      </c>
      <c r="E84" s="20">
        <v>1774900</v>
      </c>
      <c r="F84" s="23">
        <v>1774817</v>
      </c>
    </row>
    <row r="85" spans="1:6" ht="15.75" customHeight="1">
      <c r="A85" s="32">
        <v>2132</v>
      </c>
      <c r="B85" s="8" t="s">
        <v>82</v>
      </c>
      <c r="C85" s="8"/>
      <c r="D85" s="20">
        <v>804000</v>
      </c>
      <c r="E85" s="20">
        <v>797300</v>
      </c>
      <c r="F85" s="23">
        <v>797264</v>
      </c>
    </row>
    <row r="86" spans="1:6" ht="15.75" customHeight="1">
      <c r="A86" s="32">
        <v>2141</v>
      </c>
      <c r="B86" s="8" t="s">
        <v>83</v>
      </c>
      <c r="C86" s="8"/>
      <c r="D86" s="20">
        <v>10300</v>
      </c>
      <c r="E86" s="20">
        <v>3800</v>
      </c>
      <c r="F86" s="23">
        <v>3733</v>
      </c>
    </row>
    <row r="87" spans="1:6" ht="15.75" customHeight="1">
      <c r="A87" s="32">
        <v>2222</v>
      </c>
      <c r="B87" s="8" t="s">
        <v>84</v>
      </c>
      <c r="C87" s="8"/>
      <c r="D87" s="20"/>
      <c r="E87" s="20">
        <v>75500</v>
      </c>
      <c r="F87" s="23">
        <f>E87</f>
        <v>75500</v>
      </c>
    </row>
    <row r="88" spans="1:6" ht="15.75" customHeight="1">
      <c r="A88" s="32">
        <v>2229</v>
      </c>
      <c r="B88" s="8" t="s">
        <v>290</v>
      </c>
      <c r="C88" s="8"/>
      <c r="D88" s="20"/>
      <c r="E88" s="20">
        <v>5700</v>
      </c>
      <c r="F88" s="23">
        <v>5655</v>
      </c>
    </row>
    <row r="89" spans="1:6" ht="15.75" customHeight="1">
      <c r="A89" s="32">
        <v>2322</v>
      </c>
      <c r="B89" s="8" t="s">
        <v>291</v>
      </c>
      <c r="C89" s="8"/>
      <c r="D89" s="20"/>
      <c r="E89" s="20">
        <v>6900</v>
      </c>
      <c r="F89" s="23">
        <v>6874</v>
      </c>
    </row>
    <row r="90" spans="1:6" ht="15.75" customHeight="1">
      <c r="A90" s="32">
        <v>2324</v>
      </c>
      <c r="B90" s="8" t="s">
        <v>85</v>
      </c>
      <c r="C90" s="8"/>
      <c r="D90" s="20">
        <v>380100</v>
      </c>
      <c r="E90" s="20">
        <v>327000</v>
      </c>
      <c r="F90" s="23">
        <v>326927.14</v>
      </c>
    </row>
    <row r="91" spans="1:6" ht="15.75" customHeight="1">
      <c r="A91" s="32">
        <v>2343</v>
      </c>
      <c r="B91" s="8" t="s">
        <v>86</v>
      </c>
      <c r="C91" s="8"/>
      <c r="D91" s="20">
        <v>30000</v>
      </c>
      <c r="E91" s="20">
        <v>39400</v>
      </c>
      <c r="F91" s="23">
        <v>39369</v>
      </c>
    </row>
    <row r="92" spans="1:6" ht="15.75" customHeight="1">
      <c r="A92" s="32">
        <v>2460</v>
      </c>
      <c r="B92" s="8" t="s">
        <v>87</v>
      </c>
      <c r="C92" s="8"/>
      <c r="D92" s="20">
        <v>55000</v>
      </c>
      <c r="E92" s="20">
        <v>58000</v>
      </c>
      <c r="F92" s="23">
        <v>57938</v>
      </c>
    </row>
    <row r="93" spans="1:10" s="29" customFormat="1" ht="15.75">
      <c r="A93" s="39" t="s">
        <v>88</v>
      </c>
      <c r="B93" s="39"/>
      <c r="C93" s="46"/>
      <c r="D93" s="47">
        <f>SUM(D81:D92)</f>
        <v>4249400</v>
      </c>
      <c r="E93" s="47">
        <f>SUM(E81:E92)</f>
        <v>5236400</v>
      </c>
      <c r="F93" s="48">
        <f>SUM(F81:F92)</f>
        <v>5235834.77</v>
      </c>
      <c r="G93" s="22">
        <f>F93-F38</f>
        <v>0</v>
      </c>
      <c r="J93" s="20"/>
    </row>
    <row r="94" spans="1:10" s="34" customFormat="1" ht="15.75">
      <c r="A94" s="31"/>
      <c r="B94" s="31"/>
      <c r="C94" s="49"/>
      <c r="D94" s="49"/>
      <c r="E94" s="49"/>
      <c r="F94" s="31"/>
      <c r="J94" s="63"/>
    </row>
    <row r="95" spans="1:10" s="34" customFormat="1" ht="15.75">
      <c r="A95" s="50"/>
      <c r="B95" s="50"/>
      <c r="C95" s="51"/>
      <c r="D95" s="51"/>
      <c r="E95" s="51"/>
      <c r="F95" s="50"/>
      <c r="J95" s="63"/>
    </row>
    <row r="96" spans="1:10" s="34" customFormat="1" ht="12.75">
      <c r="A96" s="52"/>
      <c r="B96" s="52"/>
      <c r="C96" s="53"/>
      <c r="D96" s="53"/>
      <c r="E96" s="53"/>
      <c r="F96" s="52"/>
      <c r="J96" s="63"/>
    </row>
    <row r="97" spans="1:10" s="29" customFormat="1" ht="15.75">
      <c r="A97" s="54" t="s">
        <v>89</v>
      </c>
      <c r="B97" s="54"/>
      <c r="C97" s="55"/>
      <c r="D97" s="55"/>
      <c r="E97" s="55"/>
      <c r="F97" s="54"/>
      <c r="J97" s="20"/>
    </row>
    <row r="98" spans="1:10" s="34" customFormat="1" ht="15.75">
      <c r="A98" s="44"/>
      <c r="B98" s="45"/>
      <c r="C98" s="56"/>
      <c r="D98" s="17" t="s">
        <v>40</v>
      </c>
      <c r="E98" s="17" t="s">
        <v>41</v>
      </c>
      <c r="F98" s="18" t="s">
        <v>42</v>
      </c>
      <c r="J98" s="63"/>
    </row>
    <row r="99" spans="1:10" s="34" customFormat="1" ht="18.75" customHeight="1">
      <c r="A99" s="50" t="s">
        <v>90</v>
      </c>
      <c r="B99" s="50"/>
      <c r="C99" s="141"/>
      <c r="D99" s="57">
        <v>100000</v>
      </c>
      <c r="E99" s="57">
        <v>280147</v>
      </c>
      <c r="F99" s="76">
        <f>E99</f>
        <v>280147</v>
      </c>
      <c r="J99" s="63"/>
    </row>
    <row r="100" spans="1:10" s="34" customFormat="1" ht="18.75" customHeight="1">
      <c r="A100" s="50" t="s">
        <v>253</v>
      </c>
      <c r="B100" s="50"/>
      <c r="C100" s="31"/>
      <c r="D100" s="57"/>
      <c r="E100" s="57">
        <v>201341</v>
      </c>
      <c r="F100" s="76">
        <f>E100</f>
        <v>201341</v>
      </c>
      <c r="J100" s="63"/>
    </row>
    <row r="101" spans="1:10" s="29" customFormat="1" ht="15.75">
      <c r="A101" s="39" t="s">
        <v>91</v>
      </c>
      <c r="B101" s="39"/>
      <c r="C101" s="5"/>
      <c r="D101" s="40">
        <f>SUM(D99:D99)</f>
        <v>100000</v>
      </c>
      <c r="E101" s="40">
        <f>SUM(E99:E100)</f>
        <v>481488</v>
      </c>
      <c r="F101" s="41">
        <f>SUM(F99:F100)</f>
        <v>481488</v>
      </c>
      <c r="J101" s="20"/>
    </row>
    <row r="102" spans="1:10" s="29" customFormat="1" ht="15">
      <c r="A102" s="59"/>
      <c r="B102" s="59"/>
      <c r="C102" s="60"/>
      <c r="D102" s="60"/>
      <c r="E102" s="60"/>
      <c r="F102" s="59"/>
      <c r="J102" s="20"/>
    </row>
    <row r="103" spans="1:10" s="34" customFormat="1" ht="12.75">
      <c r="A103" s="52"/>
      <c r="B103" s="52"/>
      <c r="C103" s="53"/>
      <c r="D103" s="53"/>
      <c r="E103" s="53"/>
      <c r="F103" s="52"/>
      <c r="J103" s="63"/>
    </row>
    <row r="104" spans="1:10" s="34" customFormat="1" ht="15.75">
      <c r="A104" s="54" t="s">
        <v>92</v>
      </c>
      <c r="B104" s="61"/>
      <c r="C104" s="62"/>
      <c r="D104" s="62"/>
      <c r="E104" s="62"/>
      <c r="F104" s="61"/>
      <c r="G104" s="63"/>
      <c r="J104" s="63"/>
    </row>
    <row r="105" spans="1:7" ht="15.75">
      <c r="A105" s="44"/>
      <c r="B105" s="45"/>
      <c r="C105" s="45"/>
      <c r="D105" s="17" t="s">
        <v>40</v>
      </c>
      <c r="E105" s="17" t="s">
        <v>41</v>
      </c>
      <c r="F105" s="18" t="s">
        <v>42</v>
      </c>
      <c r="G105" s="20"/>
    </row>
    <row r="106" spans="1:7" ht="15.75">
      <c r="A106" s="112">
        <v>4111</v>
      </c>
      <c r="B106" s="75" t="s">
        <v>292</v>
      </c>
      <c r="C106" s="123"/>
      <c r="D106" s="188"/>
      <c r="E106" s="189">
        <v>15356</v>
      </c>
      <c r="F106" s="190">
        <v>15356</v>
      </c>
      <c r="G106" s="20"/>
    </row>
    <row r="107" spans="1:10" s="29" customFormat="1" ht="15.75">
      <c r="A107" s="35">
        <v>4112</v>
      </c>
      <c r="B107" s="5" t="s">
        <v>93</v>
      </c>
      <c r="C107" s="5"/>
      <c r="D107" s="22">
        <v>176600</v>
      </c>
      <c r="E107" s="22">
        <v>176300</v>
      </c>
      <c r="F107" s="23">
        <f>E107</f>
        <v>176300</v>
      </c>
      <c r="J107" s="20"/>
    </row>
    <row r="108" spans="1:10" s="29" customFormat="1" ht="15.75">
      <c r="A108" s="35">
        <v>4116</v>
      </c>
      <c r="B108" s="5" t="s">
        <v>94</v>
      </c>
      <c r="C108" s="5"/>
      <c r="D108" s="22">
        <v>239190</v>
      </c>
      <c r="E108" s="22">
        <v>371547</v>
      </c>
      <c r="F108" s="23">
        <f>E108</f>
        <v>371547</v>
      </c>
      <c r="J108" s="20"/>
    </row>
    <row r="109" spans="1:10" s="67" customFormat="1" ht="15.75">
      <c r="A109" s="179"/>
      <c r="B109" s="199" t="s">
        <v>95</v>
      </c>
      <c r="C109" s="199"/>
      <c r="D109" s="65"/>
      <c r="E109" s="65">
        <v>368847</v>
      </c>
      <c r="F109" s="66">
        <f>E109</f>
        <v>368847</v>
      </c>
      <c r="J109" s="136"/>
    </row>
    <row r="110" spans="1:10" s="67" customFormat="1" ht="15.75">
      <c r="A110" s="179"/>
      <c r="B110" s="199" t="s">
        <v>293</v>
      </c>
      <c r="C110" s="199"/>
      <c r="D110" s="65"/>
      <c r="E110" s="65">
        <v>2700</v>
      </c>
      <c r="F110" s="66">
        <f>E110</f>
        <v>2700</v>
      </c>
      <c r="J110" s="136"/>
    </row>
    <row r="111" spans="1:10" s="29" customFormat="1" ht="15.75">
      <c r="A111" s="35">
        <v>4122</v>
      </c>
      <c r="B111" s="5" t="s">
        <v>97</v>
      </c>
      <c r="C111" s="5"/>
      <c r="D111" s="22"/>
      <c r="E111" s="22">
        <v>122805</v>
      </c>
      <c r="F111" s="23">
        <v>122805</v>
      </c>
      <c r="G111" s="22"/>
      <c r="J111" s="20"/>
    </row>
    <row r="112" spans="1:10" s="67" customFormat="1" ht="15.75">
      <c r="A112" s="179"/>
      <c r="B112" s="68" t="s">
        <v>98</v>
      </c>
      <c r="C112" s="68"/>
      <c r="D112" s="65"/>
      <c r="E112" s="65">
        <v>30000</v>
      </c>
      <c r="F112" s="66">
        <f>E112</f>
        <v>30000</v>
      </c>
      <c r="J112" s="136"/>
    </row>
    <row r="113" spans="1:10" s="67" customFormat="1" ht="15.75">
      <c r="A113" s="179"/>
      <c r="B113" s="68" t="s">
        <v>299</v>
      </c>
      <c r="C113" s="68"/>
      <c r="D113" s="65"/>
      <c r="E113" s="65">
        <v>22343</v>
      </c>
      <c r="F113" s="66">
        <f>E113</f>
        <v>22343</v>
      </c>
      <c r="J113" s="136"/>
    </row>
    <row r="114" spans="1:10" s="67" customFormat="1" ht="15.75">
      <c r="A114" s="179"/>
      <c r="B114" s="68" t="s">
        <v>298</v>
      </c>
      <c r="C114" s="68"/>
      <c r="D114" s="65"/>
      <c r="E114" s="65">
        <v>11025</v>
      </c>
      <c r="F114" s="66">
        <f>E114</f>
        <v>11025</v>
      </c>
      <c r="J114" s="136"/>
    </row>
    <row r="115" spans="1:10" s="67" customFormat="1" ht="15.75">
      <c r="A115" s="179"/>
      <c r="B115" s="68" t="s">
        <v>300</v>
      </c>
      <c r="C115" s="68"/>
      <c r="D115" s="65"/>
      <c r="E115" s="65">
        <v>59437</v>
      </c>
      <c r="F115" s="66">
        <f>E115</f>
        <v>59437</v>
      </c>
      <c r="J115" s="136"/>
    </row>
    <row r="116" spans="1:6" ht="15.75" hidden="1">
      <c r="A116" s="36">
        <v>4211</v>
      </c>
      <c r="B116" s="8" t="s">
        <v>101</v>
      </c>
      <c r="C116" s="8"/>
      <c r="D116" s="20"/>
      <c r="E116" s="20"/>
      <c r="F116" s="37"/>
    </row>
    <row r="117" spans="1:10" s="29" customFormat="1" ht="15.75">
      <c r="A117" s="35">
        <v>4222</v>
      </c>
      <c r="B117" s="5" t="s">
        <v>106</v>
      </c>
      <c r="C117" s="5"/>
      <c r="D117" s="22"/>
      <c r="E117" s="22">
        <v>110000</v>
      </c>
      <c r="F117" s="23">
        <f>E117</f>
        <v>110000</v>
      </c>
      <c r="J117" s="20"/>
    </row>
    <row r="118" spans="1:10" s="29" customFormat="1" ht="15.75">
      <c r="A118" s="35"/>
      <c r="B118" s="171" t="s">
        <v>301</v>
      </c>
      <c r="C118" s="171"/>
      <c r="D118" s="172"/>
      <c r="E118" s="71">
        <v>110000</v>
      </c>
      <c r="F118" s="72">
        <f>E118</f>
        <v>110000</v>
      </c>
      <c r="J118" s="20"/>
    </row>
    <row r="119" spans="1:10" s="29" customFormat="1" ht="15.75">
      <c r="A119" s="39" t="s">
        <v>107</v>
      </c>
      <c r="B119" s="39"/>
      <c r="C119" s="39"/>
      <c r="D119" s="40">
        <f>SUM(D106:D118)</f>
        <v>415790</v>
      </c>
      <c r="E119" s="174">
        <f>E106+E108+E111+E107+E117</f>
        <v>796008</v>
      </c>
      <c r="F119" s="41">
        <f>F107+F108+F111+F106+F117</f>
        <v>796008</v>
      </c>
      <c r="G119" s="22"/>
      <c r="J119" s="20"/>
    </row>
    <row r="120" spans="1:10" s="29" customFormat="1" ht="15">
      <c r="A120" s="59"/>
      <c r="B120" s="59"/>
      <c r="C120" s="59"/>
      <c r="D120" s="59"/>
      <c r="F120" s="60"/>
      <c r="J120" s="20"/>
    </row>
    <row r="121" spans="1:10" s="29" customFormat="1" ht="15.75">
      <c r="A121" s="13" t="s">
        <v>108</v>
      </c>
      <c r="B121" s="13"/>
      <c r="C121" s="13"/>
      <c r="D121" s="13"/>
      <c r="E121" s="13"/>
      <c r="F121" s="13"/>
      <c r="J121" s="20"/>
    </row>
    <row r="122" spans="1:8" ht="15.75">
      <c r="A122" s="30"/>
      <c r="B122" s="31"/>
      <c r="C122" s="74"/>
      <c r="D122" s="17" t="s">
        <v>40</v>
      </c>
      <c r="E122" s="17" t="s">
        <v>41</v>
      </c>
      <c r="F122" s="18" t="s">
        <v>42</v>
      </c>
      <c r="H122" s="29"/>
    </row>
    <row r="123" spans="1:10" s="29" customFormat="1" ht="15.75">
      <c r="A123" s="75" t="s">
        <v>109</v>
      </c>
      <c r="B123" s="75"/>
      <c r="C123" s="75"/>
      <c r="D123" s="60">
        <f>D124+D125+D127</f>
        <v>3026740</v>
      </c>
      <c r="E123" s="60">
        <f>E124+E125+E127</f>
        <v>3326472</v>
      </c>
      <c r="F123" s="76">
        <f>F124+F125+F127+F126</f>
        <v>3359883.23</v>
      </c>
      <c r="J123" s="20"/>
    </row>
    <row r="124" spans="1:10" s="34" customFormat="1" ht="15.75" customHeight="1">
      <c r="A124" s="77" t="s">
        <v>110</v>
      </c>
      <c r="B124" s="50" t="s">
        <v>111</v>
      </c>
      <c r="C124" s="78"/>
      <c r="D124" s="20">
        <v>2191140</v>
      </c>
      <c r="E124" s="20">
        <v>2437104</v>
      </c>
      <c r="F124" s="21">
        <f>E124</f>
        <v>2437104</v>
      </c>
      <c r="J124" s="63"/>
    </row>
    <row r="125" spans="1:10" s="34" customFormat="1" ht="15.75" customHeight="1">
      <c r="A125" s="79">
        <v>5021</v>
      </c>
      <c r="B125" s="50" t="s">
        <v>112</v>
      </c>
      <c r="C125" s="78"/>
      <c r="D125" s="20">
        <v>110600</v>
      </c>
      <c r="E125" s="57">
        <v>95402</v>
      </c>
      <c r="F125" s="21">
        <f>E125</f>
        <v>95402</v>
      </c>
      <c r="J125" s="63"/>
    </row>
    <row r="126" spans="1:10" s="34" customFormat="1" ht="15.75" customHeight="1">
      <c r="A126" s="79">
        <v>5038</v>
      </c>
      <c r="B126" s="50" t="s">
        <v>302</v>
      </c>
      <c r="C126" s="78"/>
      <c r="D126" s="20">
        <v>0</v>
      </c>
      <c r="E126" s="57">
        <v>33411.23</v>
      </c>
      <c r="F126" s="21">
        <f>E126</f>
        <v>33411.23</v>
      </c>
      <c r="J126" s="63"/>
    </row>
    <row r="127" spans="1:10" s="34" customFormat="1" ht="15.75" customHeight="1">
      <c r="A127" s="80">
        <v>5023</v>
      </c>
      <c r="B127" s="31" t="s">
        <v>113</v>
      </c>
      <c r="C127" s="81"/>
      <c r="D127" s="73">
        <v>725000</v>
      </c>
      <c r="E127" s="73">
        <v>793966</v>
      </c>
      <c r="F127" s="82">
        <f>E127</f>
        <v>793966</v>
      </c>
      <c r="J127" s="63"/>
    </row>
    <row r="128" spans="1:10" ht="15.75">
      <c r="A128" s="75" t="s">
        <v>114</v>
      </c>
      <c r="B128" s="50"/>
      <c r="C128" s="50"/>
      <c r="D128" s="60">
        <f>SUM(D129:D157)</f>
        <v>4081300</v>
      </c>
      <c r="E128" s="60">
        <f>SUM(E129:E157)</f>
        <v>7729634.619999999</v>
      </c>
      <c r="F128" s="76">
        <f>SUM(F129:F157)</f>
        <v>7729634.619999999</v>
      </c>
      <c r="J128" s="63"/>
    </row>
    <row r="129" spans="1:10" s="34" customFormat="1" ht="15.75" customHeight="1">
      <c r="A129" s="77">
        <v>5134</v>
      </c>
      <c r="B129" s="8" t="s">
        <v>115</v>
      </c>
      <c r="C129" s="78"/>
      <c r="D129" s="57">
        <v>0</v>
      </c>
      <c r="E129" s="20">
        <v>13020</v>
      </c>
      <c r="F129" s="58">
        <f>E129</f>
        <v>13020</v>
      </c>
      <c r="G129" s="63"/>
      <c r="J129" s="63"/>
    </row>
    <row r="130" spans="1:10" s="34" customFormat="1" ht="15.75" customHeight="1">
      <c r="A130" s="77">
        <v>5136</v>
      </c>
      <c r="B130" s="8" t="s">
        <v>116</v>
      </c>
      <c r="C130" s="78"/>
      <c r="D130" s="57">
        <v>15000</v>
      </c>
      <c r="E130" s="20">
        <v>16786</v>
      </c>
      <c r="F130" s="58">
        <f aca="true" t="shared" si="0" ref="F130:F156">E130</f>
        <v>16786</v>
      </c>
      <c r="G130" s="63"/>
      <c r="J130" s="63"/>
    </row>
    <row r="131" spans="1:10" s="34" customFormat="1" ht="15.75" customHeight="1">
      <c r="A131" s="77">
        <v>5137</v>
      </c>
      <c r="B131" s="8" t="s">
        <v>117</v>
      </c>
      <c r="C131" s="78"/>
      <c r="D131" s="57">
        <v>85000</v>
      </c>
      <c r="E131" s="20">
        <v>386723</v>
      </c>
      <c r="F131" s="58">
        <f t="shared" si="0"/>
        <v>386723</v>
      </c>
      <c r="G131" s="63"/>
      <c r="J131" s="63"/>
    </row>
    <row r="132" spans="1:10" s="34" customFormat="1" ht="15.75" customHeight="1">
      <c r="A132" s="77">
        <v>5138</v>
      </c>
      <c r="B132" s="8" t="s">
        <v>118</v>
      </c>
      <c r="C132" s="78"/>
      <c r="D132" s="57">
        <v>45000</v>
      </c>
      <c r="E132" s="20">
        <v>72527</v>
      </c>
      <c r="F132" s="58">
        <f t="shared" si="0"/>
        <v>72527</v>
      </c>
      <c r="G132" s="63"/>
      <c r="J132" s="63"/>
    </row>
    <row r="133" spans="1:10" s="34" customFormat="1" ht="15.75" customHeight="1">
      <c r="A133" s="77">
        <v>5139</v>
      </c>
      <c r="B133" s="8" t="s">
        <v>119</v>
      </c>
      <c r="C133" s="78"/>
      <c r="D133" s="57">
        <v>387300</v>
      </c>
      <c r="E133" s="20">
        <v>720587.67</v>
      </c>
      <c r="F133" s="58">
        <f t="shared" si="0"/>
        <v>720587.67</v>
      </c>
      <c r="G133" s="63"/>
      <c r="H133" s="63"/>
      <c r="J133" s="63"/>
    </row>
    <row r="134" spans="1:10" s="34" customFormat="1" ht="15.75" customHeight="1">
      <c r="A134" s="77">
        <v>5153</v>
      </c>
      <c r="B134" s="8" t="s">
        <v>120</v>
      </c>
      <c r="C134" s="78"/>
      <c r="D134" s="57">
        <v>175000</v>
      </c>
      <c r="E134" s="57">
        <v>164747</v>
      </c>
      <c r="F134" s="58">
        <f t="shared" si="0"/>
        <v>164747</v>
      </c>
      <c r="G134" s="63"/>
      <c r="H134" s="63"/>
      <c r="J134" s="63"/>
    </row>
    <row r="135" spans="1:10" s="34" customFormat="1" ht="15.75" customHeight="1">
      <c r="A135" s="77">
        <v>5154</v>
      </c>
      <c r="B135" s="8" t="s">
        <v>121</v>
      </c>
      <c r="C135" s="78"/>
      <c r="D135" s="57">
        <v>355000</v>
      </c>
      <c r="E135" s="20">
        <v>334374.4</v>
      </c>
      <c r="F135" s="58">
        <f t="shared" si="0"/>
        <v>334374.4</v>
      </c>
      <c r="G135" s="63"/>
      <c r="H135" s="63"/>
      <c r="J135" s="63"/>
    </row>
    <row r="136" spans="1:10" s="34" customFormat="1" ht="15.75" customHeight="1">
      <c r="A136" s="77">
        <v>5155</v>
      </c>
      <c r="B136" s="8" t="s">
        <v>239</v>
      </c>
      <c r="C136" s="78"/>
      <c r="D136" s="57">
        <v>100000</v>
      </c>
      <c r="E136" s="20">
        <v>125319</v>
      </c>
      <c r="F136" s="58">
        <f t="shared" si="0"/>
        <v>125319</v>
      </c>
      <c r="G136" s="63"/>
      <c r="H136" s="63"/>
      <c r="J136" s="63"/>
    </row>
    <row r="137" spans="1:10" s="34" customFormat="1" ht="15.75" customHeight="1">
      <c r="A137" s="77">
        <v>5156</v>
      </c>
      <c r="B137" s="8" t="s">
        <v>122</v>
      </c>
      <c r="C137" s="78"/>
      <c r="D137" s="57">
        <v>220000</v>
      </c>
      <c r="E137" s="20">
        <v>185586</v>
      </c>
      <c r="F137" s="58">
        <f t="shared" si="0"/>
        <v>185586</v>
      </c>
      <c r="G137" s="63"/>
      <c r="H137" s="63"/>
      <c r="J137" s="63"/>
    </row>
    <row r="138" spans="1:10" s="34" customFormat="1" ht="15.75" customHeight="1">
      <c r="A138" s="77">
        <v>5161</v>
      </c>
      <c r="B138" s="8" t="s">
        <v>123</v>
      </c>
      <c r="C138" s="78"/>
      <c r="D138" s="57">
        <v>10000</v>
      </c>
      <c r="E138" s="20">
        <v>5805</v>
      </c>
      <c r="F138" s="58">
        <f t="shared" si="0"/>
        <v>5805</v>
      </c>
      <c r="G138" s="63"/>
      <c r="J138" s="63"/>
    </row>
    <row r="139" spans="1:10" s="34" customFormat="1" ht="15.75" customHeight="1">
      <c r="A139" s="77">
        <v>5162</v>
      </c>
      <c r="B139" s="8" t="s">
        <v>124</v>
      </c>
      <c r="C139" s="78"/>
      <c r="D139" s="57">
        <v>36000</v>
      </c>
      <c r="E139" s="20">
        <v>25198.35</v>
      </c>
      <c r="F139" s="58">
        <f t="shared" si="0"/>
        <v>25198.35</v>
      </c>
      <c r="G139" s="63"/>
      <c r="H139" s="63"/>
      <c r="J139" s="63"/>
    </row>
    <row r="140" spans="1:10" s="34" customFormat="1" ht="15.75" customHeight="1">
      <c r="A140" s="77">
        <v>5163</v>
      </c>
      <c r="B140" s="8" t="s">
        <v>125</v>
      </c>
      <c r="C140" s="78"/>
      <c r="D140" s="57">
        <v>78500</v>
      </c>
      <c r="E140" s="20">
        <v>95235.2</v>
      </c>
      <c r="F140" s="58">
        <f t="shared" si="0"/>
        <v>95235.2</v>
      </c>
      <c r="G140" s="63"/>
      <c r="H140" s="63"/>
      <c r="J140" s="63"/>
    </row>
    <row r="141" spans="1:10" s="34" customFormat="1" ht="15.75" customHeight="1">
      <c r="A141" s="77">
        <v>5166</v>
      </c>
      <c r="B141" s="8" t="s">
        <v>126</v>
      </c>
      <c r="C141" s="78"/>
      <c r="D141" s="57">
        <v>5000</v>
      </c>
      <c r="E141" s="20">
        <v>41278.4</v>
      </c>
      <c r="F141" s="58">
        <f t="shared" si="0"/>
        <v>41278.4</v>
      </c>
      <c r="G141" s="63"/>
      <c r="H141" s="63"/>
      <c r="J141" s="63"/>
    </row>
    <row r="142" spans="1:10" s="34" customFormat="1" ht="15.75" customHeight="1">
      <c r="A142" s="77">
        <v>5167</v>
      </c>
      <c r="B142" s="8" t="s">
        <v>127</v>
      </c>
      <c r="C142" s="78"/>
      <c r="D142" s="57">
        <v>16000</v>
      </c>
      <c r="E142" s="20">
        <v>6947</v>
      </c>
      <c r="F142" s="58">
        <f t="shared" si="0"/>
        <v>6947</v>
      </c>
      <c r="G142" s="63"/>
      <c r="H142" s="63"/>
      <c r="J142" s="63"/>
    </row>
    <row r="143" spans="1:10" s="34" customFormat="1" ht="15.75" customHeight="1">
      <c r="A143" s="77">
        <v>5169</v>
      </c>
      <c r="B143" s="8" t="s">
        <v>128</v>
      </c>
      <c r="C143" s="78"/>
      <c r="D143" s="57">
        <v>1409500</v>
      </c>
      <c r="E143" s="20">
        <v>2450329.26</v>
      </c>
      <c r="F143" s="58">
        <f t="shared" si="0"/>
        <v>2450329.26</v>
      </c>
      <c r="G143" s="63"/>
      <c r="H143" s="63"/>
      <c r="J143" s="63"/>
    </row>
    <row r="144" spans="1:10" s="34" customFormat="1" ht="15.75" customHeight="1">
      <c r="A144" s="77">
        <v>5171</v>
      </c>
      <c r="B144" s="8" t="s">
        <v>129</v>
      </c>
      <c r="C144" s="78"/>
      <c r="D144" s="57">
        <v>200000</v>
      </c>
      <c r="E144" s="20">
        <v>1084430.46</v>
      </c>
      <c r="F144" s="58">
        <f t="shared" si="0"/>
        <v>1084430.46</v>
      </c>
      <c r="G144" s="63"/>
      <c r="H144" s="63"/>
      <c r="J144" s="63"/>
    </row>
    <row r="145" spans="1:10" s="34" customFormat="1" ht="15.75" customHeight="1">
      <c r="A145" s="77">
        <v>5172</v>
      </c>
      <c r="B145" s="8" t="s">
        <v>130</v>
      </c>
      <c r="C145" s="78"/>
      <c r="D145" s="57">
        <v>5000</v>
      </c>
      <c r="E145" s="20">
        <v>61831</v>
      </c>
      <c r="F145" s="58">
        <f t="shared" si="0"/>
        <v>61831</v>
      </c>
      <c r="G145" s="63"/>
      <c r="H145" s="63"/>
      <c r="J145" s="63"/>
    </row>
    <row r="146" spans="1:10" s="34" customFormat="1" ht="15.75" customHeight="1">
      <c r="A146" s="77">
        <v>5173</v>
      </c>
      <c r="B146" s="8" t="s">
        <v>131</v>
      </c>
      <c r="C146" s="78"/>
      <c r="D146" s="57">
        <v>55000</v>
      </c>
      <c r="E146" s="20">
        <v>43377</v>
      </c>
      <c r="F146" s="58">
        <f t="shared" si="0"/>
        <v>43377</v>
      </c>
      <c r="G146" s="63"/>
      <c r="H146" s="63"/>
      <c r="J146" s="63"/>
    </row>
    <row r="147" spans="1:10" s="34" customFormat="1" ht="15.75" customHeight="1">
      <c r="A147" s="77">
        <v>5175</v>
      </c>
      <c r="B147" s="8" t="s">
        <v>132</v>
      </c>
      <c r="C147" s="78"/>
      <c r="D147" s="57">
        <v>40000</v>
      </c>
      <c r="E147" s="20">
        <v>47012</v>
      </c>
      <c r="F147" s="58">
        <f t="shared" si="0"/>
        <v>47012</v>
      </c>
      <c r="G147" s="63"/>
      <c r="H147" s="63"/>
      <c r="J147" s="63"/>
    </row>
    <row r="148" spans="1:10" s="34" customFormat="1" ht="15.75" customHeight="1">
      <c r="A148" s="77">
        <v>5193</v>
      </c>
      <c r="B148" s="8" t="s">
        <v>133</v>
      </c>
      <c r="C148" s="78"/>
      <c r="D148" s="57">
        <v>30000</v>
      </c>
      <c r="E148" s="20">
        <v>26111</v>
      </c>
      <c r="F148" s="58">
        <f t="shared" si="0"/>
        <v>26111</v>
      </c>
      <c r="G148" s="63"/>
      <c r="H148" s="63"/>
      <c r="J148" s="63"/>
    </row>
    <row r="149" spans="1:10" s="34" customFormat="1" ht="15.75" customHeight="1">
      <c r="A149" s="77">
        <v>5361</v>
      </c>
      <c r="B149" s="8" t="s">
        <v>134</v>
      </c>
      <c r="C149" s="78"/>
      <c r="D149" s="57">
        <v>4000</v>
      </c>
      <c r="E149" s="20">
        <v>0</v>
      </c>
      <c r="F149" s="58">
        <f t="shared" si="0"/>
        <v>0</v>
      </c>
      <c r="G149" s="63"/>
      <c r="H149" s="63"/>
      <c r="J149" s="63"/>
    </row>
    <row r="150" spans="1:10" s="34" customFormat="1" ht="15.75" customHeight="1">
      <c r="A150" s="77">
        <v>5362</v>
      </c>
      <c r="B150" s="8" t="s">
        <v>135</v>
      </c>
      <c r="C150" s="78"/>
      <c r="D150" s="57">
        <v>602000</v>
      </c>
      <c r="E150" s="20">
        <v>1126678</v>
      </c>
      <c r="F150" s="58">
        <f t="shared" si="0"/>
        <v>1126678</v>
      </c>
      <c r="G150" s="63"/>
      <c r="H150" s="63"/>
      <c r="J150" s="63"/>
    </row>
    <row r="151" spans="1:10" s="34" customFormat="1" ht="15.75" customHeight="1">
      <c r="A151" s="77">
        <v>5364</v>
      </c>
      <c r="B151" s="8" t="s">
        <v>304</v>
      </c>
      <c r="C151" s="78"/>
      <c r="D151" s="57">
        <v>0</v>
      </c>
      <c r="E151" s="20">
        <v>7231.88</v>
      </c>
      <c r="F151" s="58">
        <f t="shared" si="0"/>
        <v>7231.88</v>
      </c>
      <c r="G151" s="63"/>
      <c r="H151" s="63"/>
      <c r="J151" s="63"/>
    </row>
    <row r="152" spans="1:10" s="34" customFormat="1" ht="15.75" customHeight="1">
      <c r="A152" s="77">
        <v>5365</v>
      </c>
      <c r="B152" s="8" t="s">
        <v>136</v>
      </c>
      <c r="C152" s="78"/>
      <c r="D152" s="57">
        <v>173000</v>
      </c>
      <c r="E152" s="20">
        <v>161500</v>
      </c>
      <c r="F152" s="58">
        <f t="shared" si="0"/>
        <v>161500</v>
      </c>
      <c r="G152" s="63"/>
      <c r="H152" s="63"/>
      <c r="J152" s="63"/>
    </row>
    <row r="153" spans="1:10" s="34" customFormat="1" ht="15.75" customHeight="1">
      <c r="A153" s="79">
        <v>5492</v>
      </c>
      <c r="B153" s="50" t="s">
        <v>137</v>
      </c>
      <c r="C153" s="78"/>
      <c r="D153" s="57">
        <v>30000</v>
      </c>
      <c r="E153" s="57">
        <v>21000</v>
      </c>
      <c r="F153" s="58">
        <f t="shared" si="0"/>
        <v>21000</v>
      </c>
      <c r="G153" s="63"/>
      <c r="H153" s="63"/>
      <c r="J153" s="63"/>
    </row>
    <row r="154" spans="1:10" s="34" customFormat="1" ht="15.75" customHeight="1">
      <c r="A154" s="79">
        <v>5493</v>
      </c>
      <c r="B154" s="50" t="s">
        <v>303</v>
      </c>
      <c r="C154" s="78"/>
      <c r="D154" s="57">
        <v>0</v>
      </c>
      <c r="E154" s="57">
        <v>5000</v>
      </c>
      <c r="F154" s="58">
        <f t="shared" si="0"/>
        <v>5000</v>
      </c>
      <c r="G154" s="63"/>
      <c r="H154" s="63"/>
      <c r="J154" s="63"/>
    </row>
    <row r="155" spans="1:10" s="34" customFormat="1" ht="15.75" customHeight="1">
      <c r="A155" s="79">
        <v>5660</v>
      </c>
      <c r="B155" s="50" t="s">
        <v>138</v>
      </c>
      <c r="C155" s="78"/>
      <c r="D155" s="57">
        <v>0</v>
      </c>
      <c r="E155" s="57">
        <v>500000</v>
      </c>
      <c r="F155" s="58">
        <f t="shared" si="0"/>
        <v>500000</v>
      </c>
      <c r="G155" s="63"/>
      <c r="H155" s="63"/>
      <c r="J155" s="63"/>
    </row>
    <row r="156" spans="1:10" s="34" customFormat="1" ht="15.75" customHeight="1">
      <c r="A156" s="79">
        <v>5901</v>
      </c>
      <c r="B156" s="50" t="s">
        <v>241</v>
      </c>
      <c r="C156" s="78"/>
      <c r="D156" s="57">
        <v>5000</v>
      </c>
      <c r="E156" s="57">
        <v>0</v>
      </c>
      <c r="F156" s="58">
        <f t="shared" si="0"/>
        <v>0</v>
      </c>
      <c r="G156" s="63"/>
      <c r="H156" s="63"/>
      <c r="J156" s="63"/>
    </row>
    <row r="157" spans="1:10" s="34" customFormat="1" ht="15.75" customHeight="1">
      <c r="A157" s="79">
        <v>5909</v>
      </c>
      <c r="B157" s="50" t="s">
        <v>244</v>
      </c>
      <c r="C157" s="78"/>
      <c r="D157" s="57">
        <v>0</v>
      </c>
      <c r="E157" s="57">
        <v>1000</v>
      </c>
      <c r="F157" s="58">
        <f>E157</f>
        <v>1000</v>
      </c>
      <c r="G157" s="63"/>
      <c r="H157" s="63"/>
      <c r="J157" s="63"/>
    </row>
    <row r="158" spans="1:10" s="34" customFormat="1" ht="15.75" customHeight="1" hidden="1">
      <c r="A158" s="79"/>
      <c r="B158" s="50"/>
      <c r="C158" s="78"/>
      <c r="D158" s="57"/>
      <c r="E158" s="57"/>
      <c r="F158" s="58">
        <v>155673</v>
      </c>
      <c r="G158" s="63"/>
      <c r="H158" s="63"/>
      <c r="J158" s="63"/>
    </row>
    <row r="159" spans="1:7" ht="15.75">
      <c r="A159" s="5" t="s">
        <v>139</v>
      </c>
      <c r="B159" s="8"/>
      <c r="C159" s="8"/>
      <c r="D159" s="22">
        <f>D160+D163+D162</f>
        <v>1460000</v>
      </c>
      <c r="E159" s="22">
        <f>E160+E163+E162+E161</f>
        <v>1650952</v>
      </c>
      <c r="F159" s="23">
        <f>F160+F163+F162+F161</f>
        <v>1650952</v>
      </c>
      <c r="G159" s="20"/>
    </row>
    <row r="160" spans="1:10" s="34" customFormat="1" ht="15.75">
      <c r="A160" s="77">
        <v>5222.29</v>
      </c>
      <c r="B160" s="8" t="s">
        <v>139</v>
      </c>
      <c r="C160" s="25"/>
      <c r="D160" s="20">
        <v>247316</v>
      </c>
      <c r="E160" s="20">
        <v>162951</v>
      </c>
      <c r="F160" s="37">
        <f>E160</f>
        <v>162951</v>
      </c>
      <c r="J160" s="63"/>
    </row>
    <row r="161" spans="1:10" s="34" customFormat="1" ht="15.75">
      <c r="A161" s="77">
        <v>5321</v>
      </c>
      <c r="B161" s="8" t="s">
        <v>140</v>
      </c>
      <c r="C161" s="25"/>
      <c r="D161" s="20">
        <v>0</v>
      </c>
      <c r="E161" s="20">
        <v>6000</v>
      </c>
      <c r="F161" s="37">
        <f>E161</f>
        <v>6000</v>
      </c>
      <c r="J161" s="63"/>
    </row>
    <row r="162" spans="1:10" s="34" customFormat="1" ht="15.75">
      <c r="A162" s="77">
        <v>5329</v>
      </c>
      <c r="B162" s="8" t="s">
        <v>141</v>
      </c>
      <c r="C162" s="25"/>
      <c r="D162" s="20">
        <v>12684</v>
      </c>
      <c r="E162" s="20">
        <v>151331</v>
      </c>
      <c r="F162" s="37">
        <f>E162</f>
        <v>151331</v>
      </c>
      <c r="J162" s="63"/>
    </row>
    <row r="163" spans="1:10" s="34" customFormat="1" ht="15.75">
      <c r="A163" s="77">
        <v>5331</v>
      </c>
      <c r="B163" s="8" t="s">
        <v>243</v>
      </c>
      <c r="C163" s="25"/>
      <c r="D163" s="20">
        <v>1200000</v>
      </c>
      <c r="E163" s="20">
        <v>1330670</v>
      </c>
      <c r="F163" s="37">
        <f>E163</f>
        <v>1330670</v>
      </c>
      <c r="J163" s="63"/>
    </row>
    <row r="164" spans="1:10" s="83" customFormat="1" ht="15.75">
      <c r="A164" s="39" t="s">
        <v>142</v>
      </c>
      <c r="B164" s="39"/>
      <c r="C164" s="39"/>
      <c r="D164" s="39"/>
      <c r="F164" s="41">
        <f>F159+F128+F123</f>
        <v>12740469.85</v>
      </c>
      <c r="G164" s="84">
        <f>F164-F43</f>
        <v>0</v>
      </c>
      <c r="H164" s="28"/>
      <c r="I164" s="28"/>
      <c r="J164" s="137"/>
    </row>
    <row r="165" spans="7:10" s="34" customFormat="1" ht="12.75">
      <c r="G165" s="85" t="s">
        <v>143</v>
      </c>
      <c r="J165" s="63"/>
    </row>
    <row r="166" spans="1:10" s="34" customFormat="1" ht="15.75">
      <c r="A166" s="13" t="s">
        <v>144</v>
      </c>
      <c r="B166" s="14"/>
      <c r="C166" s="14"/>
      <c r="D166" s="14"/>
      <c r="E166" s="86"/>
      <c r="F166" s="14"/>
      <c r="G166" s="85"/>
      <c r="J166" s="63"/>
    </row>
    <row r="167" spans="1:7" ht="15.75">
      <c r="A167" s="44"/>
      <c r="B167" s="45"/>
      <c r="C167" s="17"/>
      <c r="D167" s="17" t="s">
        <v>40</v>
      </c>
      <c r="E167" s="17" t="s">
        <v>41</v>
      </c>
      <c r="F167" s="18" t="s">
        <v>42</v>
      </c>
      <c r="G167" s="42"/>
    </row>
    <row r="168" spans="1:10" s="34" customFormat="1" ht="15.75">
      <c r="A168" s="77">
        <v>6121</v>
      </c>
      <c r="B168" s="8" t="s">
        <v>145</v>
      </c>
      <c r="C168" s="8"/>
      <c r="D168" s="20">
        <v>10415474.92</v>
      </c>
      <c r="E168" s="20">
        <v>13080616.42</v>
      </c>
      <c r="F168" s="37">
        <f>E168</f>
        <v>13080616.42</v>
      </c>
      <c r="G168" s="85"/>
      <c r="J168" s="63"/>
    </row>
    <row r="169" spans="1:10" s="34" customFormat="1" ht="15.75">
      <c r="A169" s="77">
        <v>6122</v>
      </c>
      <c r="B169" s="8" t="s">
        <v>146</v>
      </c>
      <c r="C169" s="8"/>
      <c r="D169" s="20">
        <v>0</v>
      </c>
      <c r="E169" s="20">
        <v>0</v>
      </c>
      <c r="F169" s="37">
        <f>E169</f>
        <v>0</v>
      </c>
      <c r="G169" s="85"/>
      <c r="J169" s="63"/>
    </row>
    <row r="170" spans="1:10" s="34" customFormat="1" ht="15.75">
      <c r="A170" s="77">
        <v>6130</v>
      </c>
      <c r="B170" s="8" t="s">
        <v>147</v>
      </c>
      <c r="C170" s="8"/>
      <c r="D170" s="20">
        <v>10000</v>
      </c>
      <c r="E170" s="20">
        <v>54951</v>
      </c>
      <c r="F170" s="37">
        <f>E170</f>
        <v>54951</v>
      </c>
      <c r="G170" s="85"/>
      <c r="J170" s="63"/>
    </row>
    <row r="171" spans="1:10" s="29" customFormat="1" ht="15.75">
      <c r="A171" s="39" t="s">
        <v>148</v>
      </c>
      <c r="B171" s="39"/>
      <c r="C171" s="39"/>
      <c r="D171" s="40">
        <f>SUM(D168:D170)</f>
        <v>10425474.92</v>
      </c>
      <c r="E171" s="40">
        <f>SUM(E168:E170)</f>
        <v>13135567.42</v>
      </c>
      <c r="F171" s="41">
        <f>F168+F169+F170</f>
        <v>13135567.42</v>
      </c>
      <c r="G171" s="87">
        <f>E171-F44</f>
        <v>0</v>
      </c>
      <c r="J171" s="20"/>
    </row>
    <row r="172" spans="1:10" s="29" customFormat="1" ht="15.75">
      <c r="A172" s="75"/>
      <c r="B172" s="75"/>
      <c r="C172" s="75"/>
      <c r="D172" s="75"/>
      <c r="E172" s="88"/>
      <c r="F172" s="59"/>
      <c r="J172" s="20"/>
    </row>
    <row r="173" spans="1:10" s="29" customFormat="1" ht="15.75">
      <c r="A173" s="54" t="s">
        <v>149</v>
      </c>
      <c r="B173" s="54"/>
      <c r="C173" s="54"/>
      <c r="D173" s="54"/>
      <c r="E173" s="55"/>
      <c r="F173" s="89"/>
      <c r="J173" s="20"/>
    </row>
    <row r="174" spans="1:10" s="34" customFormat="1" ht="15.75">
      <c r="A174" s="30"/>
      <c r="B174" s="31"/>
      <c r="C174" s="74"/>
      <c r="D174" s="17" t="s">
        <v>40</v>
      </c>
      <c r="E174" s="17" t="s">
        <v>41</v>
      </c>
      <c r="F174" s="18" t="s">
        <v>42</v>
      </c>
      <c r="J174" s="63"/>
    </row>
    <row r="175" spans="1:10" s="34" customFormat="1" ht="15.75" customHeight="1">
      <c r="A175" s="77">
        <v>8115</v>
      </c>
      <c r="B175" s="200" t="s">
        <v>52</v>
      </c>
      <c r="C175" s="200"/>
      <c r="D175" s="20">
        <v>3054624.92</v>
      </c>
      <c r="E175" s="20">
        <v>6188336.92</v>
      </c>
      <c r="F175" s="37">
        <v>5793385.19</v>
      </c>
      <c r="J175" s="63"/>
    </row>
    <row r="176" spans="1:10" s="34" customFormat="1" ht="15" customHeight="1">
      <c r="A176" s="77">
        <v>8124</v>
      </c>
      <c r="B176" s="201" t="s">
        <v>150</v>
      </c>
      <c r="C176" s="201"/>
      <c r="D176" s="25">
        <v>0</v>
      </c>
      <c r="E176" s="25">
        <v>0</v>
      </c>
      <c r="F176" s="37">
        <v>0</v>
      </c>
      <c r="J176" s="63"/>
    </row>
    <row r="177" spans="1:10" s="34" customFormat="1" ht="15.75" customHeight="1">
      <c r="A177" s="77">
        <v>8901</v>
      </c>
      <c r="B177" s="197" t="s">
        <v>151</v>
      </c>
      <c r="C177" s="197"/>
      <c r="D177" s="25">
        <v>0</v>
      </c>
      <c r="E177" s="25">
        <v>0</v>
      </c>
      <c r="F177" s="37">
        <v>396765.44</v>
      </c>
      <c r="J177" s="63"/>
    </row>
    <row r="178" spans="1:10" s="34" customFormat="1" ht="15.75">
      <c r="A178" s="39" t="s">
        <v>55</v>
      </c>
      <c r="B178" s="39"/>
      <c r="C178" s="48"/>
      <c r="D178" s="48"/>
      <c r="E178" s="48"/>
      <c r="F178" s="41">
        <f>SUM(F175:F177)</f>
        <v>6190150.630000001</v>
      </c>
      <c r="J178" s="63"/>
    </row>
    <row r="179" spans="1:10" s="34" customFormat="1" ht="15">
      <c r="A179" s="59"/>
      <c r="B179" s="59"/>
      <c r="C179" s="60"/>
      <c r="D179" s="60"/>
      <c r="E179" s="60"/>
      <c r="F179" s="52"/>
      <c r="J179" s="63"/>
    </row>
    <row r="180" spans="1:10" s="34" customFormat="1" ht="15">
      <c r="A180" s="59"/>
      <c r="B180" s="59"/>
      <c r="C180" s="60"/>
      <c r="D180" s="60"/>
      <c r="E180" s="60"/>
      <c r="F180" s="52"/>
      <c r="J180" s="63"/>
    </row>
    <row r="181" spans="1:10" s="34" customFormat="1" ht="15.75">
      <c r="A181" s="54" t="s">
        <v>152</v>
      </c>
      <c r="B181" s="54"/>
      <c r="C181" s="55"/>
      <c r="D181" s="55"/>
      <c r="E181" s="55"/>
      <c r="F181" s="61"/>
      <c r="J181" s="63"/>
    </row>
    <row r="182" spans="1:10" s="93" customFormat="1" ht="15.75">
      <c r="A182" s="90"/>
      <c r="B182" s="90"/>
      <c r="C182" s="91"/>
      <c r="D182" s="92" t="s">
        <v>294</v>
      </c>
      <c r="F182" s="94" t="s">
        <v>295</v>
      </c>
      <c r="J182" s="138"/>
    </row>
    <row r="183" spans="1:10" s="8" customFormat="1" ht="15.75">
      <c r="A183" s="50" t="s">
        <v>153</v>
      </c>
      <c r="B183" s="50"/>
      <c r="C183" s="78"/>
      <c r="D183" s="20">
        <v>9684433.45</v>
      </c>
      <c r="F183" s="37">
        <v>3833153.45</v>
      </c>
      <c r="J183" s="25"/>
    </row>
    <row r="184" spans="1:10" s="8" customFormat="1" ht="12.75" customHeight="1">
      <c r="A184" s="50" t="s">
        <v>154</v>
      </c>
      <c r="B184" s="50"/>
      <c r="C184" s="78"/>
      <c r="D184" s="20">
        <v>372304.62</v>
      </c>
      <c r="E184" s="31"/>
      <c r="F184" s="37">
        <v>430199.43</v>
      </c>
      <c r="J184" s="25"/>
    </row>
    <row r="185" spans="1:10" s="5" customFormat="1" ht="15.75">
      <c r="A185" s="39" t="s">
        <v>155</v>
      </c>
      <c r="B185" s="39"/>
      <c r="C185" s="39"/>
      <c r="D185" s="40">
        <f>SUM(D183:D184)</f>
        <v>10056738.069999998</v>
      </c>
      <c r="F185" s="41">
        <f>F183+F184</f>
        <v>4263352.88</v>
      </c>
      <c r="J185" s="25"/>
    </row>
    <row r="186" s="34" customFormat="1" ht="12.75">
      <c r="J186" s="63"/>
    </row>
    <row r="187" spans="1:6" ht="30.75" customHeight="1">
      <c r="A187" s="196" t="s">
        <v>305</v>
      </c>
      <c r="B187" s="196"/>
      <c r="C187" s="196"/>
      <c r="D187" s="196"/>
      <c r="E187" s="196"/>
      <c r="F187" s="196"/>
    </row>
    <row r="188" spans="1:6" ht="29.25" customHeight="1">
      <c r="A188" s="178"/>
      <c r="B188" s="178"/>
      <c r="C188" s="178"/>
      <c r="D188" s="178"/>
      <c r="E188" s="178"/>
      <c r="F188" s="178"/>
    </row>
    <row r="189" ht="18.75">
      <c r="A189" s="11" t="s">
        <v>296</v>
      </c>
    </row>
    <row r="190" ht="8.25" customHeight="1">
      <c r="A190" s="11"/>
    </row>
    <row r="191" spans="1:10" s="8" customFormat="1" ht="18" customHeight="1">
      <c r="A191" s="13" t="s">
        <v>156</v>
      </c>
      <c r="B191" s="14"/>
      <c r="C191" s="14"/>
      <c r="D191" s="14"/>
      <c r="E191" s="14"/>
      <c r="F191" s="14"/>
      <c r="J191" s="25"/>
    </row>
    <row r="192" spans="1:6" ht="12.75" customHeight="1">
      <c r="A192" s="96"/>
      <c r="B192" s="45"/>
      <c r="C192" s="97" t="s">
        <v>157</v>
      </c>
      <c r="D192" s="98" t="s">
        <v>158</v>
      </c>
      <c r="E192" s="98" t="s">
        <v>159</v>
      </c>
      <c r="F192" s="74" t="s">
        <v>160</v>
      </c>
    </row>
    <row r="193" spans="1:10" s="29" customFormat="1" ht="15.75" customHeight="1">
      <c r="A193" s="99" t="s">
        <v>161</v>
      </c>
      <c r="C193" s="100">
        <f>C195+C196</f>
        <v>0</v>
      </c>
      <c r="D193" s="100">
        <f>D195+D196+D194</f>
        <v>813290</v>
      </c>
      <c r="E193" s="100">
        <f>E195+E196+E194</f>
        <v>594991</v>
      </c>
      <c r="F193" s="27">
        <f>F195</f>
        <v>218299</v>
      </c>
      <c r="J193" s="20"/>
    </row>
    <row r="194" spans="1:6" ht="15.75" customHeight="1">
      <c r="A194" s="101" t="s">
        <v>162</v>
      </c>
      <c r="C194" s="102"/>
      <c r="D194" s="20">
        <v>297490</v>
      </c>
      <c r="E194" s="20">
        <v>297490</v>
      </c>
      <c r="F194" s="25">
        <v>0</v>
      </c>
    </row>
    <row r="195" spans="1:6" ht="15.75" customHeight="1">
      <c r="A195" s="101" t="s">
        <v>163</v>
      </c>
      <c r="C195" s="102"/>
      <c r="D195" s="20">
        <v>515800</v>
      </c>
      <c r="E195" s="20">
        <v>297501</v>
      </c>
      <c r="F195" s="25">
        <v>218299</v>
      </c>
    </row>
    <row r="196" spans="1:6" ht="15.75" customHeight="1">
      <c r="A196" s="101" t="s">
        <v>164</v>
      </c>
      <c r="C196" s="102"/>
      <c r="D196" s="20">
        <v>0</v>
      </c>
      <c r="E196" s="20">
        <v>0</v>
      </c>
      <c r="F196" s="25">
        <v>0</v>
      </c>
    </row>
    <row r="197" spans="1:6" ht="15.75" customHeight="1">
      <c r="A197" s="99" t="s">
        <v>165</v>
      </c>
      <c r="C197" s="27">
        <f>C198+C199+C200+C201+C204</f>
        <v>0</v>
      </c>
      <c r="D197" s="27">
        <f>D198+D199+D200+D201+D204</f>
        <v>185266359.8</v>
      </c>
      <c r="E197" s="27">
        <f>E198+E199+E200+E201+E204+E202</f>
        <v>43167988.88</v>
      </c>
      <c r="F197" s="27">
        <f>F198+F199+F200+F201+F204</f>
        <v>144675350.02</v>
      </c>
    </row>
    <row r="198" spans="1:6" ht="15.75" customHeight="1">
      <c r="A198" s="101" t="s">
        <v>166</v>
      </c>
      <c r="C198" s="102"/>
      <c r="D198" s="20">
        <v>20058163.21</v>
      </c>
      <c r="E198" s="20">
        <v>0</v>
      </c>
      <c r="F198" s="25">
        <f>D198-E198</f>
        <v>20058163.21</v>
      </c>
    </row>
    <row r="199" spans="1:6" ht="15.75" customHeight="1">
      <c r="A199" s="101" t="s">
        <v>167</v>
      </c>
      <c r="C199" s="102"/>
      <c r="D199" s="102">
        <v>298689</v>
      </c>
      <c r="E199" s="20">
        <v>0</v>
      </c>
      <c r="F199" s="25">
        <f aca="true" t="shared" si="1" ref="F199:F204">D199-E199</f>
        <v>298689</v>
      </c>
    </row>
    <row r="200" spans="1:6" ht="15.75" customHeight="1">
      <c r="A200" s="101" t="s">
        <v>168</v>
      </c>
      <c r="C200" s="20"/>
      <c r="D200" s="102">
        <v>140331137.77</v>
      </c>
      <c r="E200" s="20">
        <v>38122882.93</v>
      </c>
      <c r="F200" s="25">
        <f t="shared" si="1"/>
        <v>102208254.84</v>
      </c>
    </row>
    <row r="201" spans="1:6" ht="15.75" customHeight="1">
      <c r="A201" s="101" t="s">
        <v>169</v>
      </c>
      <c r="C201" s="20"/>
      <c r="D201" s="102">
        <v>6938556.5</v>
      </c>
      <c r="E201" s="20">
        <v>2468126.85</v>
      </c>
      <c r="F201" s="25">
        <f t="shared" si="1"/>
        <v>4470429.65</v>
      </c>
    </row>
    <row r="202" spans="1:6" ht="15.75" customHeight="1">
      <c r="A202" s="101" t="s">
        <v>170</v>
      </c>
      <c r="D202" s="102">
        <v>2576979.1</v>
      </c>
      <c r="E202" s="20">
        <v>2576979.1</v>
      </c>
      <c r="F202" s="25">
        <f t="shared" si="1"/>
        <v>0</v>
      </c>
    </row>
    <row r="203" spans="1:6" ht="15.75" customHeight="1">
      <c r="A203" s="101" t="s">
        <v>171</v>
      </c>
      <c r="D203" s="102">
        <v>1905169.93</v>
      </c>
      <c r="E203" s="20">
        <v>85112</v>
      </c>
      <c r="F203" s="25">
        <f t="shared" si="1"/>
        <v>1820057.93</v>
      </c>
    </row>
    <row r="204" spans="1:6" ht="15.75" customHeight="1">
      <c r="A204" s="101" t="s">
        <v>172</v>
      </c>
      <c r="C204" s="102"/>
      <c r="D204" s="20">
        <v>17639813.32</v>
      </c>
      <c r="E204" s="20">
        <v>0</v>
      </c>
      <c r="F204" s="25">
        <f t="shared" si="1"/>
        <v>17639813.32</v>
      </c>
    </row>
    <row r="205" spans="1:6" ht="15.75" customHeight="1">
      <c r="A205" s="99" t="s">
        <v>173</v>
      </c>
      <c r="C205" s="100">
        <f>C206</f>
        <v>0</v>
      </c>
      <c r="D205" s="20"/>
      <c r="E205" s="20"/>
      <c r="F205" s="27">
        <f>F206</f>
        <v>39000</v>
      </c>
    </row>
    <row r="206" spans="1:6" ht="15.75" customHeight="1">
      <c r="A206" s="101" t="s">
        <v>174</v>
      </c>
      <c r="C206" s="20"/>
      <c r="D206" s="20">
        <v>39000</v>
      </c>
      <c r="E206" s="20">
        <v>0</v>
      </c>
      <c r="F206" s="25">
        <f>D206</f>
        <v>39000</v>
      </c>
    </row>
    <row r="207" spans="1:6" ht="12.75" customHeight="1">
      <c r="A207" s="101"/>
      <c r="C207" s="69"/>
      <c r="D207" s="20"/>
      <c r="E207" s="20"/>
      <c r="F207" s="20"/>
    </row>
    <row r="208" spans="1:6" ht="15.75" customHeight="1">
      <c r="A208" s="54" t="s">
        <v>175</v>
      </c>
      <c r="B208" s="103"/>
      <c r="C208" s="104"/>
      <c r="D208" s="105"/>
      <c r="E208" s="105"/>
      <c r="F208" s="105"/>
    </row>
    <row r="209" spans="1:6" ht="12.75" customHeight="1">
      <c r="A209" s="96"/>
      <c r="B209" s="45"/>
      <c r="C209" s="97" t="s">
        <v>157</v>
      </c>
      <c r="D209" s="98" t="s">
        <v>158</v>
      </c>
      <c r="E209" s="98" t="s">
        <v>159</v>
      </c>
      <c r="F209" s="74" t="s">
        <v>160</v>
      </c>
    </row>
    <row r="210" spans="1:6" ht="15.75" customHeight="1">
      <c r="A210" s="99" t="s">
        <v>176</v>
      </c>
      <c r="C210" s="22">
        <f>C211</f>
        <v>0</v>
      </c>
      <c r="D210" s="22">
        <f>D211</f>
        <v>1145686</v>
      </c>
      <c r="E210" s="20"/>
      <c r="F210" s="27">
        <f>F211</f>
        <v>1145686</v>
      </c>
    </row>
    <row r="211" spans="1:6" ht="15.75" customHeight="1">
      <c r="A211" s="101" t="s">
        <v>177</v>
      </c>
      <c r="C211" s="20"/>
      <c r="D211" s="20">
        <v>1145686</v>
      </c>
      <c r="E211" s="20">
        <v>0</v>
      </c>
      <c r="F211" s="25">
        <f>D211</f>
        <v>1145686</v>
      </c>
    </row>
    <row r="212" spans="1:6" ht="15.75" customHeight="1">
      <c r="A212" s="99" t="s">
        <v>178</v>
      </c>
      <c r="C212" s="22">
        <f>C213+C214+C217</f>
        <v>0</v>
      </c>
      <c r="D212" s="22">
        <f>D213+D214+D217</f>
        <v>1168611.88</v>
      </c>
      <c r="E212" s="20"/>
      <c r="F212" s="27">
        <f>F213+F214+F217+F215+F216</f>
        <v>1205919.55</v>
      </c>
    </row>
    <row r="213" spans="1:6" ht="15.75" customHeight="1">
      <c r="A213" s="101" t="s">
        <v>179</v>
      </c>
      <c r="C213" s="20"/>
      <c r="D213" s="20">
        <v>130275.05</v>
      </c>
      <c r="E213" s="20">
        <v>44084.55</v>
      </c>
      <c r="F213" s="25">
        <f>D213-E213</f>
        <v>86190.5</v>
      </c>
    </row>
    <row r="214" spans="1:6" ht="15.75" customHeight="1">
      <c r="A214" s="101" t="s">
        <v>180</v>
      </c>
      <c r="C214" s="20"/>
      <c r="D214" s="20">
        <v>41602</v>
      </c>
      <c r="E214" s="20">
        <v>34601.78</v>
      </c>
      <c r="F214" s="25">
        <f>D214-E214</f>
        <v>7000.220000000001</v>
      </c>
    </row>
    <row r="215" spans="1:6" ht="15.75" customHeight="1">
      <c r="A215" s="101" t="s">
        <v>181</v>
      </c>
      <c r="C215" s="20"/>
      <c r="D215" s="20">
        <v>0</v>
      </c>
      <c r="E215" s="20"/>
      <c r="F215" s="25">
        <f>D215-E215</f>
        <v>0</v>
      </c>
    </row>
    <row r="216" spans="1:6" ht="15.75" customHeight="1">
      <c r="A216" s="101" t="s">
        <v>182</v>
      </c>
      <c r="C216" s="20"/>
      <c r="D216" s="20">
        <v>115994</v>
      </c>
      <c r="E216" s="20"/>
      <c r="F216" s="25">
        <f>D216</f>
        <v>115994</v>
      </c>
    </row>
    <row r="217" spans="1:6" ht="15.75" customHeight="1">
      <c r="A217" s="99" t="s">
        <v>249</v>
      </c>
      <c r="C217" s="20"/>
      <c r="D217" s="20">
        <v>996734.83</v>
      </c>
      <c r="E217" s="20"/>
      <c r="F217" s="25">
        <f>D217</f>
        <v>996734.83</v>
      </c>
    </row>
    <row r="218" spans="1:6" ht="15.75" customHeight="1">
      <c r="A218" s="99" t="s">
        <v>183</v>
      </c>
      <c r="C218" s="22">
        <f>C219+C220+C221+C222</f>
        <v>0</v>
      </c>
      <c r="D218" s="22">
        <f>D219+D220+D221+D222</f>
        <v>4263576.88</v>
      </c>
      <c r="E218" s="20"/>
      <c r="F218" s="27">
        <f>F219+F220+F221+F222</f>
        <v>4263576.88</v>
      </c>
    </row>
    <row r="219" spans="1:6" ht="15.75" customHeight="1">
      <c r="A219" s="101" t="s">
        <v>184</v>
      </c>
      <c r="C219" s="20"/>
      <c r="D219" s="20">
        <v>2672609</v>
      </c>
      <c r="E219" s="20"/>
      <c r="F219" s="25">
        <v>2672609</v>
      </c>
    </row>
    <row r="220" spans="1:6" ht="15.75" customHeight="1">
      <c r="A220" s="101" t="s">
        <v>185</v>
      </c>
      <c r="C220" s="20"/>
      <c r="D220" s="20">
        <v>1160544.45</v>
      </c>
      <c r="E220" s="20"/>
      <c r="F220" s="25">
        <f>D220</f>
        <v>1160544.45</v>
      </c>
    </row>
    <row r="221" spans="1:6" ht="15.75" customHeight="1">
      <c r="A221" s="101" t="s">
        <v>186</v>
      </c>
      <c r="C221" s="20"/>
      <c r="D221" s="20">
        <v>430199.43</v>
      </c>
      <c r="E221" s="20"/>
      <c r="F221" s="25">
        <f>D221</f>
        <v>430199.43</v>
      </c>
    </row>
    <row r="222" spans="1:6" ht="15.75" customHeight="1">
      <c r="A222" s="101" t="s">
        <v>187</v>
      </c>
      <c r="C222" s="20"/>
      <c r="D222" s="20">
        <v>224</v>
      </c>
      <c r="E222" s="20"/>
      <c r="F222" s="25">
        <f>D222</f>
        <v>224</v>
      </c>
    </row>
    <row r="223" spans="1:6" ht="12.75" customHeight="1">
      <c r="A223" s="101"/>
      <c r="C223" s="69"/>
      <c r="D223" s="102"/>
      <c r="E223" s="20"/>
      <c r="F223" s="20"/>
    </row>
    <row r="224" spans="1:6" ht="15.75" customHeight="1">
      <c r="A224" s="54" t="s">
        <v>188</v>
      </c>
      <c r="B224" s="103"/>
      <c r="C224" s="104"/>
      <c r="D224" s="106"/>
      <c r="E224" s="105"/>
      <c r="F224" s="105"/>
    </row>
    <row r="225" spans="1:6" ht="12.75" customHeight="1">
      <c r="A225" s="96"/>
      <c r="B225" s="45"/>
      <c r="C225" s="107"/>
      <c r="D225" s="97" t="s">
        <v>157</v>
      </c>
      <c r="E225" s="98"/>
      <c r="F225" s="74" t="s">
        <v>295</v>
      </c>
    </row>
    <row r="226" spans="1:10" s="36" customFormat="1" ht="15.75" customHeight="1">
      <c r="A226" s="108" t="s">
        <v>189</v>
      </c>
      <c r="B226" s="109"/>
      <c r="C226" s="110"/>
      <c r="D226" s="111">
        <f>D227+D228+D229+D230</f>
        <v>114207966.17</v>
      </c>
      <c r="E226" s="112"/>
      <c r="F226" s="113">
        <f>F227+F228+F229+F230</f>
        <v>113729320.24999999</v>
      </c>
      <c r="J226" s="139"/>
    </row>
    <row r="227" spans="1:6" ht="15.75" customHeight="1">
      <c r="A227" s="101" t="s">
        <v>190</v>
      </c>
      <c r="C227" s="69"/>
      <c r="D227" s="25">
        <v>120884145.72</v>
      </c>
      <c r="E227" s="20"/>
      <c r="F227" s="25">
        <v>120923644.8</v>
      </c>
    </row>
    <row r="228" spans="1:6" ht="15.75" customHeight="1">
      <c r="A228" s="101" t="s">
        <v>191</v>
      </c>
      <c r="C228" s="69"/>
      <c r="D228" s="20">
        <v>24344228.8</v>
      </c>
      <c r="E228" s="20"/>
      <c r="F228" s="20">
        <v>23826083.8</v>
      </c>
    </row>
    <row r="229" spans="1:6" ht="15.75" customHeight="1">
      <c r="A229" s="101" t="s">
        <v>192</v>
      </c>
      <c r="C229" s="69"/>
      <c r="D229" s="25">
        <v>-31020407.9</v>
      </c>
      <c r="E229" s="20"/>
      <c r="F229" s="25">
        <v>-31020407.9</v>
      </c>
    </row>
    <row r="230" spans="1:6" ht="15.75" customHeight="1">
      <c r="A230" s="101" t="s">
        <v>193</v>
      </c>
      <c r="C230" s="69"/>
      <c r="D230" s="25">
        <v>-0.45</v>
      </c>
      <c r="E230" s="20"/>
      <c r="F230" s="25">
        <v>-0.45</v>
      </c>
    </row>
    <row r="231" spans="1:6" ht="15.75" customHeight="1">
      <c r="A231" s="99" t="s">
        <v>194</v>
      </c>
      <c r="C231" s="69"/>
      <c r="D231" s="22">
        <f>D232</f>
        <v>922469.27</v>
      </c>
      <c r="E231" s="20"/>
      <c r="F231" s="27">
        <f>F232</f>
        <v>926934.26</v>
      </c>
    </row>
    <row r="232" spans="1:6" ht="15.75" customHeight="1">
      <c r="A232" s="101" t="s">
        <v>195</v>
      </c>
      <c r="C232" s="69"/>
      <c r="D232" s="25">
        <v>922469.27</v>
      </c>
      <c r="E232" s="20"/>
      <c r="F232" s="25">
        <v>926934.26</v>
      </c>
    </row>
    <row r="233" spans="1:6" ht="20.25" customHeight="1">
      <c r="A233" s="198" t="s">
        <v>196</v>
      </c>
      <c r="B233" s="198"/>
      <c r="C233" s="198"/>
      <c r="D233" s="198"/>
      <c r="E233" s="198"/>
      <c r="F233" s="198"/>
    </row>
    <row r="234" spans="1:6" ht="18.75" customHeight="1">
      <c r="A234" s="114"/>
      <c r="B234" s="114"/>
      <c r="C234" s="114"/>
      <c r="D234" s="114"/>
      <c r="E234" s="114"/>
      <c r="F234" s="114"/>
    </row>
    <row r="235" spans="1:6" ht="12.75" customHeight="1">
      <c r="A235" s="115"/>
      <c r="B235" s="115"/>
      <c r="C235" s="115"/>
      <c r="D235" s="97" t="s">
        <v>157</v>
      </c>
      <c r="E235" s="98"/>
      <c r="F235" s="74" t="s">
        <v>295</v>
      </c>
    </row>
    <row r="236" spans="1:10" s="29" customFormat="1" ht="15.75" customHeight="1">
      <c r="A236" s="99" t="s">
        <v>197</v>
      </c>
      <c r="C236" s="116"/>
      <c r="D236" s="22">
        <f>D237+D238</f>
        <v>32434180.99</v>
      </c>
      <c r="E236" s="22"/>
      <c r="F236" s="27">
        <f>F237+F238</f>
        <v>37617093.37</v>
      </c>
      <c r="J236" s="20"/>
    </row>
    <row r="237" spans="1:6" ht="15.75" customHeight="1">
      <c r="A237" s="101" t="s">
        <v>198</v>
      </c>
      <c r="C237" s="69"/>
      <c r="D237" s="25">
        <v>7744452.29</v>
      </c>
      <c r="E237" s="20"/>
      <c r="F237" s="25">
        <v>5182912.38</v>
      </c>
    </row>
    <row r="238" spans="1:6" ht="15.75" customHeight="1">
      <c r="A238" s="101" t="s">
        <v>199</v>
      </c>
      <c r="C238" s="69"/>
      <c r="D238" s="25">
        <v>24689728.7</v>
      </c>
      <c r="E238" s="20"/>
      <c r="F238" s="25">
        <v>32434180.99</v>
      </c>
    </row>
    <row r="239" spans="1:6" ht="12.75" customHeight="1">
      <c r="A239" s="101"/>
      <c r="C239" s="69"/>
      <c r="D239" s="63"/>
      <c r="E239" s="20"/>
      <c r="F239" s="63"/>
    </row>
    <row r="240" spans="1:6" ht="15.75" customHeight="1">
      <c r="A240" s="54" t="s">
        <v>200</v>
      </c>
      <c r="B240" s="103"/>
      <c r="C240" s="104"/>
      <c r="D240" s="117"/>
      <c r="E240" s="105"/>
      <c r="F240" s="117"/>
    </row>
    <row r="241" spans="1:6" ht="15.75" customHeight="1">
      <c r="A241" s="118"/>
      <c r="B241" s="119"/>
      <c r="C241" s="120"/>
      <c r="D241" s="121" t="s">
        <v>157</v>
      </c>
      <c r="E241" s="122"/>
      <c r="F241" s="74" t="s">
        <v>295</v>
      </c>
    </row>
    <row r="242" spans="1:6" ht="15.75" customHeight="1">
      <c r="A242" s="59" t="s">
        <v>201</v>
      </c>
      <c r="C242" s="69"/>
      <c r="D242" s="22">
        <f>D243</f>
        <v>70000</v>
      </c>
      <c r="E242" s="20"/>
      <c r="F242" s="27">
        <f>F243</f>
        <v>0</v>
      </c>
    </row>
    <row r="243" spans="1:6" ht="15.75" customHeight="1">
      <c r="A243" s="101" t="s">
        <v>250</v>
      </c>
      <c r="C243" s="69"/>
      <c r="D243" s="25">
        <v>70000</v>
      </c>
      <c r="E243" s="20"/>
      <c r="F243" s="25">
        <v>0</v>
      </c>
    </row>
    <row r="244" spans="1:6" ht="15.75" customHeight="1">
      <c r="A244" s="99" t="s">
        <v>202</v>
      </c>
      <c r="C244" s="69"/>
      <c r="D244" s="22">
        <f>D247+D248+D250+D251+D255+D254+D256+D245</f>
        <v>1262688.22</v>
      </c>
      <c r="E244" s="20"/>
      <c r="F244" s="27">
        <f>SUM(F245:F256)</f>
        <v>1109468.5</v>
      </c>
    </row>
    <row r="245" spans="1:6" ht="15.75" customHeight="1">
      <c r="A245" s="101" t="s">
        <v>203</v>
      </c>
      <c r="C245" s="69"/>
      <c r="D245" s="25">
        <v>725</v>
      </c>
      <c r="E245" s="20"/>
      <c r="F245" s="25">
        <v>425</v>
      </c>
    </row>
    <row r="246" spans="1:6" ht="15.75" customHeight="1">
      <c r="A246" s="101" t="s">
        <v>204</v>
      </c>
      <c r="C246" s="69"/>
      <c r="D246" s="25">
        <v>1375049.94</v>
      </c>
      <c r="E246" s="20"/>
      <c r="F246" s="25">
        <v>340559.7</v>
      </c>
    </row>
    <row r="247" spans="1:6" ht="15.75" customHeight="1">
      <c r="A247" s="101" t="s">
        <v>205</v>
      </c>
      <c r="C247" s="69"/>
      <c r="D247" s="25">
        <v>163803</v>
      </c>
      <c r="E247" s="20"/>
      <c r="F247" s="25">
        <v>168913</v>
      </c>
    </row>
    <row r="248" spans="1:6" ht="15.75" customHeight="1">
      <c r="A248" s="101" t="s">
        <v>206</v>
      </c>
      <c r="C248" s="69"/>
      <c r="D248" s="25">
        <v>52359</v>
      </c>
      <c r="E248" s="20"/>
      <c r="F248" s="25">
        <v>52289.8</v>
      </c>
    </row>
    <row r="249" spans="1:6" ht="15.75" customHeight="1">
      <c r="A249" s="101" t="s">
        <v>207</v>
      </c>
      <c r="C249" s="69"/>
      <c r="D249" s="25">
        <v>26077</v>
      </c>
      <c r="E249" s="20"/>
      <c r="F249" s="25">
        <v>25259</v>
      </c>
    </row>
    <row r="250" spans="1:6" ht="15.75" customHeight="1">
      <c r="A250" s="101" t="s">
        <v>208</v>
      </c>
      <c r="C250" s="69"/>
      <c r="D250" s="25">
        <v>90941</v>
      </c>
      <c r="E250" s="20"/>
      <c r="F250" s="25">
        <v>16231</v>
      </c>
    </row>
    <row r="251" spans="1:6" ht="15.75" customHeight="1">
      <c r="A251" s="101" t="s">
        <v>209</v>
      </c>
      <c r="C251" s="69"/>
      <c r="D251" s="25">
        <v>265313.22</v>
      </c>
      <c r="E251" s="20"/>
      <c r="F251" s="25">
        <v>5791</v>
      </c>
    </row>
    <row r="252" spans="1:6" ht="15.75" customHeight="1">
      <c r="A252" s="101" t="s">
        <v>251</v>
      </c>
      <c r="C252" s="69"/>
      <c r="D252" s="25">
        <v>681</v>
      </c>
      <c r="E252" s="20"/>
      <c r="F252" s="25">
        <v>0</v>
      </c>
    </row>
    <row r="253" spans="1:6" ht="15.75" customHeight="1">
      <c r="A253" s="101" t="s">
        <v>252</v>
      </c>
      <c r="C253" s="69"/>
      <c r="D253" s="25">
        <v>40000</v>
      </c>
      <c r="E253" s="20"/>
      <c r="F253" s="25">
        <v>0</v>
      </c>
    </row>
    <row r="254" spans="1:6" ht="15.75" customHeight="1">
      <c r="A254" s="101" t="s">
        <v>210</v>
      </c>
      <c r="C254" s="69"/>
      <c r="D254" s="20">
        <v>0</v>
      </c>
      <c r="E254" s="20"/>
      <c r="F254" s="25">
        <v>0</v>
      </c>
    </row>
    <row r="255" spans="1:6" ht="15.75" customHeight="1">
      <c r="A255" s="101" t="s">
        <v>211</v>
      </c>
      <c r="C255" s="69"/>
      <c r="D255" s="25">
        <v>9547</v>
      </c>
      <c r="E255" s="20"/>
      <c r="F255" s="25">
        <v>0</v>
      </c>
    </row>
    <row r="256" spans="1:10" s="34" customFormat="1" ht="15.75" customHeight="1">
      <c r="A256" s="45" t="s">
        <v>212</v>
      </c>
      <c r="B256" s="56"/>
      <c r="C256" s="56"/>
      <c r="D256" s="81">
        <v>680000</v>
      </c>
      <c r="E256" s="56"/>
      <c r="F256" s="81">
        <v>500000</v>
      </c>
      <c r="G256" s="52"/>
      <c r="J256" s="63"/>
    </row>
    <row r="257" spans="1:10" s="34" customFormat="1" ht="12.75">
      <c r="A257" s="52"/>
      <c r="B257" s="52"/>
      <c r="C257" s="52"/>
      <c r="D257" s="52"/>
      <c r="E257" s="52"/>
      <c r="F257" s="53"/>
      <c r="G257" s="52"/>
      <c r="J257" s="63"/>
    </row>
    <row r="258" spans="1:10" s="34" customFormat="1" ht="42" customHeight="1">
      <c r="A258" s="193" t="s">
        <v>306</v>
      </c>
      <c r="B258" s="194"/>
      <c r="C258" s="194"/>
      <c r="D258" s="194"/>
      <c r="E258" s="194"/>
      <c r="F258" s="194"/>
      <c r="G258" s="52"/>
      <c r="J258" s="63"/>
    </row>
    <row r="259" spans="1:7" ht="15">
      <c r="A259" s="123"/>
      <c r="B259" s="123"/>
      <c r="C259" s="123"/>
      <c r="D259" s="123"/>
      <c r="E259" s="123"/>
      <c r="F259" s="123"/>
      <c r="G259" s="123"/>
    </row>
    <row r="260" ht="14.25" customHeight="1">
      <c r="A260" s="11" t="s">
        <v>214</v>
      </c>
    </row>
    <row r="261" ht="18.75">
      <c r="A261" s="124"/>
    </row>
    <row r="262" spans="1:7" ht="15.75">
      <c r="A262" s="33" t="s">
        <v>215</v>
      </c>
      <c r="B262" s="33"/>
      <c r="C262" s="33"/>
      <c r="D262" s="33"/>
      <c r="E262" s="33"/>
      <c r="F262" s="33"/>
      <c r="G262" s="33"/>
    </row>
    <row r="263" spans="1:7" ht="15.75">
      <c r="A263" s="33" t="s">
        <v>216</v>
      </c>
      <c r="B263" s="33"/>
      <c r="C263" s="33"/>
      <c r="D263" s="33"/>
      <c r="E263" s="33"/>
      <c r="F263" s="33"/>
      <c r="G263" s="33"/>
    </row>
    <row r="264" spans="1:7" ht="15.75">
      <c r="A264" s="33"/>
      <c r="B264" s="33"/>
      <c r="C264" s="33"/>
      <c r="D264" s="33"/>
      <c r="E264" s="33"/>
      <c r="F264" s="33"/>
      <c r="G264" s="33"/>
    </row>
    <row r="265" spans="1:6" ht="12.75" customHeight="1">
      <c r="A265" s="96"/>
      <c r="B265" s="45"/>
      <c r="C265" s="107"/>
      <c r="D265" s="97" t="s">
        <v>217</v>
      </c>
      <c r="E265" s="98" t="s">
        <v>218</v>
      </c>
      <c r="F265" s="18" t="s">
        <v>219</v>
      </c>
    </row>
    <row r="266" spans="1:10" s="29" customFormat="1" ht="15.75">
      <c r="A266" s="192" t="s">
        <v>220</v>
      </c>
      <c r="B266" s="192"/>
      <c r="C266" s="125"/>
      <c r="D266" s="25">
        <v>10572766.56</v>
      </c>
      <c r="E266" s="25">
        <v>164396.09</v>
      </c>
      <c r="F266" s="23">
        <f>D266+E266</f>
        <v>10737162.65</v>
      </c>
      <c r="J266" s="20"/>
    </row>
    <row r="267" spans="1:10" s="29" customFormat="1" ht="15.75">
      <c r="A267" s="177"/>
      <c r="B267" s="177"/>
      <c r="C267" s="125"/>
      <c r="D267" s="25"/>
      <c r="E267" s="25"/>
      <c r="F267" s="37"/>
      <c r="J267" s="20"/>
    </row>
    <row r="268" spans="1:10" s="29" customFormat="1" ht="15.75">
      <c r="A268" s="192" t="s">
        <v>221</v>
      </c>
      <c r="B268" s="192"/>
      <c r="C268" s="125"/>
      <c r="D268" s="25">
        <v>10572766.56</v>
      </c>
      <c r="E268" s="25">
        <v>189244</v>
      </c>
      <c r="F268" s="23">
        <f>D268+E268</f>
        <v>10762010.56</v>
      </c>
      <c r="J268" s="20"/>
    </row>
    <row r="269" spans="1:6" ht="15.75">
      <c r="A269" s="45"/>
      <c r="B269" s="45"/>
      <c r="C269" s="127"/>
      <c r="D269" s="81"/>
      <c r="E269" s="81"/>
      <c r="F269" s="128"/>
    </row>
    <row r="270" spans="1:10" s="29" customFormat="1" ht="15.75">
      <c r="A270" s="192" t="s">
        <v>222</v>
      </c>
      <c r="B270" s="192"/>
      <c r="C270" s="125"/>
      <c r="D270" s="27">
        <f>D268-D266</f>
        <v>0</v>
      </c>
      <c r="E270" s="27">
        <f>E268-E266</f>
        <v>24847.910000000003</v>
      </c>
      <c r="F270" s="23">
        <f>D270+E270</f>
        <v>24847.910000000003</v>
      </c>
      <c r="J270" s="20"/>
    </row>
    <row r="271" spans="1:10" s="29" customFormat="1" ht="15.75">
      <c r="A271" s="177"/>
      <c r="B271" s="177"/>
      <c r="C271" s="125"/>
      <c r="D271" s="27"/>
      <c r="E271" s="27"/>
      <c r="F271" s="23"/>
      <c r="J271" s="20"/>
    </row>
    <row r="272" spans="1:10" s="29" customFormat="1" ht="15.75">
      <c r="A272" s="44" t="s">
        <v>223</v>
      </c>
      <c r="B272" s="44"/>
      <c r="C272" s="129"/>
      <c r="D272" s="30"/>
      <c r="E272" s="81"/>
      <c r="F272" s="130">
        <f>SUM(F273:F276)</f>
        <v>406605.27</v>
      </c>
      <c r="J272" s="20"/>
    </row>
    <row r="273" spans="1:6" ht="15.75">
      <c r="A273" s="191" t="s">
        <v>224</v>
      </c>
      <c r="B273" s="191"/>
      <c r="C273" s="63"/>
      <c r="D273" s="8"/>
      <c r="E273" s="25"/>
      <c r="F273" s="37">
        <v>189500</v>
      </c>
    </row>
    <row r="274" spans="1:6" ht="15.75">
      <c r="A274" s="131" t="s">
        <v>225</v>
      </c>
      <c r="B274" s="131"/>
      <c r="C274" s="63"/>
      <c r="D274" s="8"/>
      <c r="E274" s="25"/>
      <c r="F274" s="37">
        <v>52974.46</v>
      </c>
    </row>
    <row r="275" spans="1:6" ht="15.75">
      <c r="A275" s="131" t="s">
        <v>226</v>
      </c>
      <c r="B275" s="131"/>
      <c r="C275" s="63"/>
      <c r="D275" s="8"/>
      <c r="E275" s="25"/>
      <c r="F275" s="37">
        <v>91683.81</v>
      </c>
    </row>
    <row r="276" spans="1:6" ht="15.75">
      <c r="A276" s="131" t="s">
        <v>227</v>
      </c>
      <c r="B276" s="131"/>
      <c r="C276" s="63"/>
      <c r="D276" s="8"/>
      <c r="E276" s="25"/>
      <c r="F276" s="37">
        <v>72447</v>
      </c>
    </row>
    <row r="277" spans="5:6" ht="13.5" customHeight="1">
      <c r="E277" s="20"/>
      <c r="F277" s="20"/>
    </row>
    <row r="278" spans="1:10" s="34" customFormat="1" ht="54" customHeight="1">
      <c r="A278" s="193" t="s">
        <v>307</v>
      </c>
      <c r="B278" s="194"/>
      <c r="C278" s="194"/>
      <c r="D278" s="194"/>
      <c r="E278" s="194"/>
      <c r="F278" s="194"/>
      <c r="G278" s="52"/>
      <c r="J278" s="63"/>
    </row>
    <row r="279" spans="1:6" ht="14.25" customHeight="1">
      <c r="A279" s="123"/>
      <c r="B279" s="123"/>
      <c r="C279" s="123"/>
      <c r="D279" s="123"/>
      <c r="E279" s="123"/>
      <c r="F279" s="123"/>
    </row>
    <row r="280" ht="22.5" customHeight="1">
      <c r="A280" s="11" t="s">
        <v>297</v>
      </c>
    </row>
    <row r="281" ht="13.5" customHeight="1">
      <c r="A281" s="11"/>
    </row>
    <row r="282" spans="1:10" s="133" customFormat="1" ht="69" customHeight="1">
      <c r="A282" s="195" t="s">
        <v>308</v>
      </c>
      <c r="B282" s="195"/>
      <c r="C282" s="195"/>
      <c r="D282" s="195"/>
      <c r="E282" s="195"/>
      <c r="F282" s="195"/>
      <c r="J282" s="140"/>
    </row>
    <row r="283" spans="1:10" s="133" customFormat="1" ht="9.75" customHeight="1">
      <c r="A283" s="178"/>
      <c r="B283" s="178"/>
      <c r="C283" s="178"/>
      <c r="D283" s="178"/>
      <c r="E283" s="178"/>
      <c r="F283" s="178"/>
      <c r="J283" s="140"/>
    </row>
    <row r="284" spans="1:10" s="133" customFormat="1" ht="50.25" customHeight="1">
      <c r="A284" s="195" t="s">
        <v>229</v>
      </c>
      <c r="B284" s="195"/>
      <c r="C284" s="195"/>
      <c r="D284" s="195"/>
      <c r="E284" s="195"/>
      <c r="F284" s="195"/>
      <c r="J284" s="140"/>
    </row>
    <row r="285" spans="1:10" s="133" customFormat="1" ht="25.5" customHeight="1">
      <c r="A285" s="196" t="s">
        <v>309</v>
      </c>
      <c r="B285" s="196"/>
      <c r="C285" s="196"/>
      <c r="D285" s="196"/>
      <c r="E285" s="196"/>
      <c r="F285" s="196"/>
      <c r="J285" s="140"/>
    </row>
    <row r="286" s="34" customFormat="1" ht="13.5" customHeight="1">
      <c r="J286" s="63"/>
    </row>
    <row r="287" spans="1:6" ht="48" customHeight="1">
      <c r="A287" s="28"/>
      <c r="B287" s="28"/>
      <c r="C287" s="134"/>
      <c r="D287" s="28"/>
      <c r="E287" s="28"/>
      <c r="F287" s="28"/>
    </row>
    <row r="288" spans="1:3" ht="15">
      <c r="A288" s="2" t="s">
        <v>231</v>
      </c>
      <c r="B288" s="123"/>
      <c r="C288" s="2" t="s">
        <v>284</v>
      </c>
    </row>
    <row r="289" spans="3:4" ht="15">
      <c r="C289" s="176" t="s">
        <v>233</v>
      </c>
      <c r="D289" s="176"/>
    </row>
    <row r="290" spans="2:3" ht="15">
      <c r="B290" s="176"/>
      <c r="C290" s="176"/>
    </row>
    <row r="291" ht="36.75" customHeight="1"/>
    <row r="292" spans="1:3" ht="15">
      <c r="A292" s="191" t="s">
        <v>310</v>
      </c>
      <c r="B292" s="191"/>
      <c r="C292" s="191"/>
    </row>
    <row r="293" spans="1:3" ht="15">
      <c r="A293" s="176"/>
      <c r="B293" s="176"/>
      <c r="C293" s="176"/>
    </row>
    <row r="294" ht="41.25" customHeight="1"/>
    <row r="295" spans="1:3" ht="15">
      <c r="A295" s="2" t="s">
        <v>234</v>
      </c>
      <c r="C295" s="175">
        <v>42803</v>
      </c>
    </row>
    <row r="296" ht="15">
      <c r="C296" s="123"/>
    </row>
    <row r="298" spans="1:3" ht="15">
      <c r="A298" s="2" t="s">
        <v>235</v>
      </c>
      <c r="B298" s="123"/>
      <c r="C298" s="175">
        <v>42807</v>
      </c>
    </row>
    <row r="299" spans="1:3" ht="15">
      <c r="A299" s="34"/>
      <c r="B299" s="52"/>
      <c r="C299" s="52"/>
    </row>
    <row r="300" ht="15">
      <c r="B300" s="123"/>
    </row>
    <row r="301" spans="1:3" ht="15">
      <c r="A301" s="2" t="s">
        <v>236</v>
      </c>
      <c r="B301" s="123"/>
      <c r="C301" s="175"/>
    </row>
  </sheetData>
  <sheetProtection/>
  <mergeCells count="41">
    <mergeCell ref="B1:F1"/>
    <mergeCell ref="B2:F2"/>
    <mergeCell ref="A3:F3"/>
    <mergeCell ref="A4:F5"/>
    <mergeCell ref="B7:E7"/>
    <mergeCell ref="C8:F8"/>
    <mergeCell ref="C9:F9"/>
    <mergeCell ref="C10:F10"/>
    <mergeCell ref="C11:F11"/>
    <mergeCell ref="C12:F12"/>
    <mergeCell ref="C13:F13"/>
    <mergeCell ref="C14:D14"/>
    <mergeCell ref="C15:F15"/>
    <mergeCell ref="B18:E18"/>
    <mergeCell ref="D19:D20"/>
    <mergeCell ref="D21:D22"/>
    <mergeCell ref="B24:E24"/>
    <mergeCell ref="C25:F25"/>
    <mergeCell ref="B109:C109"/>
    <mergeCell ref="B110:C110"/>
    <mergeCell ref="B175:C175"/>
    <mergeCell ref="B176:C176"/>
    <mergeCell ref="B28:E28"/>
    <mergeCell ref="A41:B41"/>
    <mergeCell ref="A45:B45"/>
    <mergeCell ref="A48:B48"/>
    <mergeCell ref="A49:B49"/>
    <mergeCell ref="A50:B50"/>
    <mergeCell ref="B177:C177"/>
    <mergeCell ref="A187:F187"/>
    <mergeCell ref="A233:F233"/>
    <mergeCell ref="A258:F258"/>
    <mergeCell ref="A266:B266"/>
    <mergeCell ref="A268:B268"/>
    <mergeCell ref="A292:C292"/>
    <mergeCell ref="A270:B270"/>
    <mergeCell ref="A273:B273"/>
    <mergeCell ref="A278:F278"/>
    <mergeCell ref="A282:F282"/>
    <mergeCell ref="A284:F284"/>
    <mergeCell ref="A285:F28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3" r:id="rId2"/>
  <headerFooter>
    <oddFooter>&amp;CStránka &amp;P</oddFooter>
  </headerFooter>
  <rowBreaks count="5" manualBreakCount="5">
    <brk id="78" max="5" man="1"/>
    <brk id="120" max="5" man="1"/>
    <brk id="165" max="5" man="1"/>
    <brk id="207" max="5" man="1"/>
    <brk id="258" max="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hospodarka</cp:lastModifiedBy>
  <cp:lastPrinted>2017-03-13T11:45:01Z</cp:lastPrinted>
  <dcterms:created xsi:type="dcterms:W3CDTF">2016-04-19T12:49:07Z</dcterms:created>
  <dcterms:modified xsi:type="dcterms:W3CDTF">2017-04-19T06:17:09Z</dcterms:modified>
  <cp:category/>
  <cp:version/>
  <cp:contentType/>
  <cp:contentStatus/>
</cp:coreProperties>
</file>